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X:\Collaboration\Finance\Compliance and Reporting\External Reporting\Demand Filing\2026\3Q2026\Step 2 - Filing Finished\Excel and CD\M0\"/>
    </mc:Choice>
  </mc:AlternateContent>
  <xr:revisionPtr revIDLastSave="0" documentId="13_ncr:1_{E8EE3D33-FA3F-411A-A5FE-EA5EDDF3EC42}" xr6:coauthVersionLast="47" xr6:coauthVersionMax="47" xr10:uidLastSave="{00000000-0000-0000-0000-000000000000}"/>
  <bookViews>
    <workbookView xWindow="-120" yWindow="-120" windowWidth="29040" windowHeight="15720" tabRatio="889" firstSheet="3" activeTab="3" xr2:uid="{00000000-000D-0000-FFFF-FFFF00000000}"/>
  </bookViews>
  <sheets>
    <sheet name="M01 - 2Q" sheetId="8" state="hidden" r:id="rId1"/>
    <sheet name="M01 - 3Q" sheetId="9" state="hidden" r:id="rId2"/>
    <sheet name="M01 - 4Q" sheetId="10" state="hidden" r:id="rId3"/>
    <sheet name="M01" sheetId="16" r:id="rId4"/>
    <sheet name="CCP PowerPlan Report" sheetId="11" state="hidden" r:id="rId5"/>
  </sheets>
  <externalReferences>
    <externalReference r:id="rId6"/>
    <externalReference r:id="rId7"/>
    <externalReference r:id="rId8"/>
  </externalReferences>
  <definedNames>
    <definedName name="_xlnm.Print_Area" localSheetId="3">'M01'!$B$2:$G$134</definedName>
    <definedName name="_xlnm.Print_Area" localSheetId="0">'M01 - 2Q'!$B$1:$G$133</definedName>
    <definedName name="_xlnm.Print_Area" localSheetId="1">'M01 - 3Q'!$B$1:$G$133</definedName>
    <definedName name="_xlnm.Print_Area" localSheetId="2">'M01 - 4Q'!$B$1:$G$133</definedName>
  </definedNames>
  <calcPr calcId="191029"/>
  <customWorkbookViews>
    <customWorkbookView name="Cheryl L. Parrino - Personal View" guid="{45284A40-48C2-11D3-A686-00805FC99E05}" mergeInterval="0" personalView="1" maximized="1" windowWidth="1020" windowHeight="587" activeSheetId="1" showStatusbar="0"/>
    <customWorkbookView name="Robert Haga - Personal View" guid="{7A97BCB2-48C8-11D3-803D-00104BF0BDA4}" mergeInterval="0" personalView="1" maximized="1" windowWidth="1020" windowHeight="60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2" i="16" l="1"/>
  <c r="B129" i="16"/>
  <c r="B113" i="16"/>
  <c r="B102" i="16"/>
  <c r="B87" i="16"/>
  <c r="G79" i="16"/>
  <c r="B76" i="16"/>
  <c r="B60" i="16"/>
  <c r="G52" i="16"/>
  <c r="B49" i="16"/>
  <c r="G47" i="16"/>
  <c r="B34" i="16"/>
  <c r="G127" i="16" l="1"/>
  <c r="G134" i="16" s="1"/>
  <c r="G105" i="16"/>
  <c r="G54" i="16"/>
  <c r="G74" i="16"/>
  <c r="G81" i="16" s="1"/>
  <c r="G100" i="16"/>
  <c r="G19" i="16"/>
  <c r="G24" i="16"/>
  <c r="G107" i="16" l="1"/>
  <c r="G26" i="16"/>
  <c r="J159" i="10" l="1"/>
  <c r="J151" i="10"/>
  <c r="J146" i="10"/>
  <c r="J143" i="10"/>
  <c r="J140" i="10"/>
  <c r="J133" i="10"/>
  <c r="J125" i="10"/>
  <c r="J119" i="10"/>
  <c r="J116" i="10"/>
  <c r="J113" i="10"/>
  <c r="J106" i="10"/>
  <c r="J98" i="10"/>
  <c r="J93" i="10"/>
  <c r="J90" i="10"/>
  <c r="J87" i="10"/>
  <c r="J80" i="10"/>
  <c r="J72" i="10"/>
  <c r="J66" i="10"/>
  <c r="J63" i="10"/>
  <c r="J60" i="10"/>
  <c r="J53" i="10"/>
  <c r="J45" i="10"/>
  <c r="J40" i="10"/>
  <c r="J37" i="10"/>
  <c r="J34" i="10"/>
  <c r="J25" i="10"/>
  <c r="J12" i="10" l="1"/>
  <c r="J9" i="10"/>
  <c r="J6" i="10"/>
  <c r="J159" i="9" l="1"/>
  <c r="J151" i="9"/>
  <c r="J146" i="9"/>
  <c r="J143" i="9"/>
  <c r="J140" i="9"/>
  <c r="J133" i="9"/>
  <c r="J125" i="9"/>
  <c r="J119" i="9"/>
  <c r="J116" i="9"/>
  <c r="J113" i="9"/>
  <c r="J106" i="9"/>
  <c r="J98" i="9"/>
  <c r="J93" i="9"/>
  <c r="J90" i="9"/>
  <c r="J87" i="9"/>
  <c r="J80" i="9"/>
  <c r="J72" i="9"/>
  <c r="J66" i="9"/>
  <c r="J63" i="9"/>
  <c r="J60" i="9"/>
  <c r="J53" i="9"/>
  <c r="J45" i="9"/>
  <c r="J40" i="9"/>
  <c r="J37" i="9"/>
  <c r="J34" i="9"/>
  <c r="J25" i="9"/>
  <c r="J12" i="9"/>
  <c r="J9" i="9"/>
  <c r="J6" i="9"/>
  <c r="J159" i="8" l="1"/>
  <c r="J151" i="8"/>
  <c r="J146" i="8"/>
  <c r="J143" i="8"/>
  <c r="J140" i="8"/>
  <c r="J133" i="8"/>
  <c r="J125" i="8"/>
  <c r="J119" i="8"/>
  <c r="J116" i="8"/>
  <c r="J113" i="8"/>
  <c r="J106" i="8"/>
  <c r="J98" i="8"/>
  <c r="J93" i="8"/>
  <c r="J90" i="8"/>
  <c r="J87" i="8"/>
  <c r="J80" i="8"/>
  <c r="J72" i="8"/>
  <c r="J66" i="8"/>
  <c r="J63" i="8"/>
  <c r="J60" i="8"/>
  <c r="J53" i="8"/>
  <c r="J45" i="8"/>
  <c r="J40" i="8"/>
  <c r="J37" i="8"/>
  <c r="J34" i="8"/>
  <c r="J9" i="8"/>
  <c r="J25" i="8"/>
  <c r="J12" i="8"/>
  <c r="J6" i="8"/>
  <c r="G16" i="10" l="1"/>
  <c r="G93" i="8"/>
  <c r="G60" i="8"/>
  <c r="G40" i="8"/>
  <c r="G37" i="8"/>
  <c r="G17" i="8"/>
  <c r="G9" i="10" l="1"/>
  <c r="G145" i="9" l="1"/>
  <c r="G120" i="9"/>
  <c r="G119" i="9"/>
  <c r="G113" i="9"/>
  <c r="G92" i="9"/>
  <c r="G16" i="9"/>
  <c r="G115" i="9"/>
  <c r="G120" i="8" l="1"/>
  <c r="G146" i="10" l="1"/>
  <c r="G71" i="10"/>
  <c r="G50" i="10"/>
  <c r="G39" i="10"/>
  <c r="G156" i="9"/>
  <c r="G146" i="9"/>
  <c r="G125" i="9"/>
  <c r="G98" i="9"/>
  <c r="G71" i="9"/>
  <c r="G45" i="9"/>
  <c r="G34" i="8"/>
  <c r="G87" i="10" l="1"/>
  <c r="G98" i="10"/>
  <c r="G113" i="10"/>
  <c r="G124" i="10"/>
  <c r="G119" i="10"/>
  <c r="G6" i="8" l="1"/>
  <c r="G102" i="10" l="1"/>
  <c r="G156" i="10"/>
  <c r="G155" i="10"/>
  <c r="G151" i="10"/>
  <c r="G141" i="10"/>
  <c r="G142" i="10"/>
  <c r="G143" i="10"/>
  <c r="G144" i="10"/>
  <c r="G145" i="10"/>
  <c r="G147" i="10"/>
  <c r="G148" i="10"/>
  <c r="G149" i="10"/>
  <c r="G150" i="10"/>
  <c r="G140" i="10"/>
  <c r="B154" i="10"/>
  <c r="B139" i="10"/>
  <c r="G121" i="10"/>
  <c r="G122" i="10"/>
  <c r="G123" i="10"/>
  <c r="G68" i="10"/>
  <c r="G69" i="10"/>
  <c r="G70" i="10"/>
  <c r="G93" i="10"/>
  <c r="G94" i="10"/>
  <c r="G95" i="10"/>
  <c r="G96" i="10"/>
  <c r="G40" i="10"/>
  <c r="G41" i="10"/>
  <c r="G42" i="10"/>
  <c r="G43" i="10"/>
  <c r="G44" i="10"/>
  <c r="I151" i="10" l="1"/>
  <c r="K151" i="10" s="1"/>
  <c r="I146" i="10"/>
  <c r="K146" i="10" s="1"/>
  <c r="I140" i="10"/>
  <c r="K140" i="10" s="1"/>
  <c r="I143" i="10"/>
  <c r="K143" i="10" s="1"/>
  <c r="I40" i="10"/>
  <c r="K40" i="10" s="1"/>
  <c r="G152" i="10"/>
  <c r="G157" i="10"/>
  <c r="B30" i="11" l="1"/>
  <c r="G159" i="10"/>
  <c r="I159" i="10" l="1"/>
  <c r="K159" i="10" s="1"/>
  <c r="E30" i="11"/>
  <c r="G155" i="9" l="1"/>
  <c r="G102" i="9"/>
  <c r="G157" i="9"/>
  <c r="G151" i="9"/>
  <c r="G150" i="9"/>
  <c r="G149" i="9"/>
  <c r="G148" i="9"/>
  <c r="G147" i="9"/>
  <c r="G144" i="9"/>
  <c r="G143" i="9"/>
  <c r="G142" i="9"/>
  <c r="G141" i="9"/>
  <c r="G140" i="9"/>
  <c r="B154" i="9"/>
  <c r="B139" i="9"/>
  <c r="G155" i="8"/>
  <c r="G102" i="8"/>
  <c r="G121" i="9"/>
  <c r="G122" i="9"/>
  <c r="G123" i="9"/>
  <c r="G124" i="9"/>
  <c r="G93" i="9"/>
  <c r="G94" i="9"/>
  <c r="G95" i="9"/>
  <c r="G96" i="9"/>
  <c r="G97" i="9"/>
  <c r="G68" i="9"/>
  <c r="G69" i="9"/>
  <c r="G70" i="9"/>
  <c r="G40" i="9"/>
  <c r="G41" i="9"/>
  <c r="G42" i="9"/>
  <c r="G43" i="9"/>
  <c r="I143" i="9" l="1"/>
  <c r="K143" i="9" s="1"/>
  <c r="I151" i="9"/>
  <c r="K151" i="9" s="1"/>
  <c r="I93" i="9"/>
  <c r="K93" i="9" s="1"/>
  <c r="I146" i="9"/>
  <c r="K146" i="9" s="1"/>
  <c r="I140" i="9"/>
  <c r="K140" i="9" s="1"/>
  <c r="G152" i="9"/>
  <c r="G159" i="9" s="1"/>
  <c r="G151" i="8"/>
  <c r="G125" i="8"/>
  <c r="G156" i="8"/>
  <c r="G157" i="8" s="1"/>
  <c r="G141" i="8"/>
  <c r="G142" i="8"/>
  <c r="G143" i="8"/>
  <c r="G144" i="8"/>
  <c r="G145" i="8"/>
  <c r="G146" i="8"/>
  <c r="G147" i="8"/>
  <c r="G148" i="8"/>
  <c r="G149" i="8"/>
  <c r="G150" i="8"/>
  <c r="G140" i="8"/>
  <c r="B154" i="8"/>
  <c r="B139" i="8"/>
  <c r="G121" i="8"/>
  <c r="G122" i="8"/>
  <c r="G123" i="8"/>
  <c r="G94" i="8"/>
  <c r="G95" i="8"/>
  <c r="G96" i="8"/>
  <c r="G68" i="8"/>
  <c r="G69" i="8"/>
  <c r="G70" i="8"/>
  <c r="G41" i="8"/>
  <c r="G42" i="8"/>
  <c r="G43" i="8"/>
  <c r="G44" i="8"/>
  <c r="G124" i="8"/>
  <c r="I159" i="9" l="1"/>
  <c r="K159" i="9" s="1"/>
  <c r="I119" i="8"/>
  <c r="I40" i="8"/>
  <c r="K40" i="8" s="1"/>
  <c r="I151" i="8"/>
  <c r="K151" i="8" s="1"/>
  <c r="I143" i="8"/>
  <c r="K143" i="8" s="1"/>
  <c r="I140" i="8"/>
  <c r="K140" i="8" s="1"/>
  <c r="I146" i="8"/>
  <c r="K146" i="8" s="1"/>
  <c r="D30" i="11"/>
  <c r="G152" i="8"/>
  <c r="G159" i="8" s="1"/>
  <c r="I159" i="8" s="1"/>
  <c r="K159" i="8" s="1"/>
  <c r="C30" i="11" l="1"/>
  <c r="G130" i="10"/>
  <c r="G129" i="10"/>
  <c r="G125" i="10"/>
  <c r="G120" i="10"/>
  <c r="G118" i="10"/>
  <c r="G117" i="10"/>
  <c r="G116" i="10"/>
  <c r="G115" i="10"/>
  <c r="G114" i="10"/>
  <c r="G103" i="10"/>
  <c r="G97" i="10"/>
  <c r="I93" i="10" s="1"/>
  <c r="K93" i="10" s="1"/>
  <c r="G92" i="10"/>
  <c r="G91" i="10"/>
  <c r="G90" i="10"/>
  <c r="G89" i="10"/>
  <c r="G88" i="10"/>
  <c r="G77" i="10"/>
  <c r="G76" i="10"/>
  <c r="G72" i="10"/>
  <c r="G67" i="10"/>
  <c r="G66" i="10"/>
  <c r="G65" i="10"/>
  <c r="G64" i="10"/>
  <c r="G63" i="10"/>
  <c r="G62" i="10"/>
  <c r="G61" i="10"/>
  <c r="G60" i="10"/>
  <c r="G49" i="10"/>
  <c r="G45" i="10"/>
  <c r="G38" i="10"/>
  <c r="G37" i="10"/>
  <c r="G36" i="10"/>
  <c r="G35" i="10"/>
  <c r="G34" i="10"/>
  <c r="G22" i="10"/>
  <c r="G17" i="10"/>
  <c r="G15" i="10"/>
  <c r="G14" i="10"/>
  <c r="G13" i="10"/>
  <c r="G12" i="10"/>
  <c r="G11" i="10"/>
  <c r="G10" i="10"/>
  <c r="G8" i="10"/>
  <c r="G7" i="10"/>
  <c r="G6" i="10"/>
  <c r="B128" i="10"/>
  <c r="B112" i="10"/>
  <c r="B101" i="10"/>
  <c r="B86" i="10"/>
  <c r="B75" i="10"/>
  <c r="B59" i="10"/>
  <c r="B48" i="10"/>
  <c r="B33" i="10"/>
  <c r="G130" i="9"/>
  <c r="G129" i="9"/>
  <c r="I119" i="9"/>
  <c r="K119" i="9" s="1"/>
  <c r="G118" i="9"/>
  <c r="G117" i="9"/>
  <c r="G116" i="9"/>
  <c r="G114" i="9"/>
  <c r="G103" i="9"/>
  <c r="G91" i="9"/>
  <c r="G90" i="9"/>
  <c r="G89" i="9"/>
  <c r="G88" i="9"/>
  <c r="G87" i="9"/>
  <c r="G77" i="9"/>
  <c r="G76" i="9"/>
  <c r="G72" i="9"/>
  <c r="G67" i="9"/>
  <c r="G66" i="9"/>
  <c r="G65" i="9"/>
  <c r="G64" i="9"/>
  <c r="G63" i="9"/>
  <c r="G62" i="9"/>
  <c r="G61" i="9"/>
  <c r="G60" i="9"/>
  <c r="G50" i="9"/>
  <c r="G49" i="9"/>
  <c r="G44" i="9"/>
  <c r="I40" i="9" s="1"/>
  <c r="K40" i="9" s="1"/>
  <c r="G39" i="9"/>
  <c r="G38" i="9"/>
  <c r="G37" i="9"/>
  <c r="G36" i="9"/>
  <c r="G35" i="9"/>
  <c r="G34" i="9"/>
  <c r="G22" i="9"/>
  <c r="G17" i="9"/>
  <c r="G15" i="9"/>
  <c r="G14" i="9"/>
  <c r="G13" i="9"/>
  <c r="G12" i="9"/>
  <c r="G11" i="9"/>
  <c r="G10" i="9"/>
  <c r="G9" i="9"/>
  <c r="G8" i="9"/>
  <c r="G7" i="9"/>
  <c r="G6" i="9"/>
  <c r="B128" i="9"/>
  <c r="B112" i="9"/>
  <c r="B101" i="9"/>
  <c r="B86" i="9"/>
  <c r="B75" i="9"/>
  <c r="B59" i="9"/>
  <c r="B48" i="9"/>
  <c r="B33" i="9"/>
  <c r="G130" i="8"/>
  <c r="G129" i="8"/>
  <c r="K119" i="8"/>
  <c r="G119" i="8"/>
  <c r="G118" i="8"/>
  <c r="G117" i="8"/>
  <c r="G116" i="8"/>
  <c r="G115" i="8"/>
  <c r="G114" i="8"/>
  <c r="G113" i="8"/>
  <c r="G103" i="8"/>
  <c r="G104" i="8" s="1"/>
  <c r="G98" i="8"/>
  <c r="G97" i="8"/>
  <c r="G92" i="8"/>
  <c r="G91" i="8"/>
  <c r="G90" i="8"/>
  <c r="G89" i="8"/>
  <c r="G88" i="8"/>
  <c r="G87" i="8"/>
  <c r="G77" i="8"/>
  <c r="G76" i="8"/>
  <c r="G72" i="8"/>
  <c r="G71" i="8"/>
  <c r="G67" i="8"/>
  <c r="G66" i="8"/>
  <c r="G65" i="8"/>
  <c r="G64" i="8"/>
  <c r="G63" i="8"/>
  <c r="G62" i="8"/>
  <c r="G61" i="8"/>
  <c r="G50" i="8"/>
  <c r="G49" i="8"/>
  <c r="G45" i="8"/>
  <c r="G39" i="8"/>
  <c r="G38" i="8"/>
  <c r="G36" i="8"/>
  <c r="G35" i="8"/>
  <c r="G22" i="8"/>
  <c r="G16" i="8"/>
  <c r="G15" i="8"/>
  <c r="G14" i="8"/>
  <c r="G13" i="8"/>
  <c r="G12" i="8"/>
  <c r="G11" i="8"/>
  <c r="G10" i="8"/>
  <c r="G9" i="8"/>
  <c r="G8" i="8"/>
  <c r="G7" i="8"/>
  <c r="B128" i="8"/>
  <c r="B112" i="8"/>
  <c r="B101" i="8"/>
  <c r="B86" i="8"/>
  <c r="B75" i="8"/>
  <c r="B59" i="8"/>
  <c r="B48" i="8"/>
  <c r="B33" i="8"/>
  <c r="I60" i="8" l="1"/>
  <c r="K60" i="8" s="1"/>
  <c r="I12" i="8"/>
  <c r="K12" i="8" s="1"/>
  <c r="I93" i="8"/>
  <c r="K93" i="8" s="1"/>
  <c r="I37" i="8"/>
  <c r="K37" i="8" s="1"/>
  <c r="I9" i="8"/>
  <c r="K9" i="8" s="1"/>
  <c r="G104" i="10"/>
  <c r="G162" i="10"/>
  <c r="G162" i="9"/>
  <c r="I125" i="8"/>
  <c r="K125" i="8" s="1"/>
  <c r="G104" i="9"/>
  <c r="I98" i="9"/>
  <c r="K98" i="9" s="1"/>
  <c r="I72" i="8"/>
  <c r="K72" i="8" s="1"/>
  <c r="I6" i="8"/>
  <c r="K6" i="8" s="1"/>
  <c r="G18" i="8"/>
  <c r="G161" i="8" s="1"/>
  <c r="I60" i="9"/>
  <c r="K60" i="9" s="1"/>
  <c r="I125" i="9"/>
  <c r="K125" i="9" s="1"/>
  <c r="I98" i="10"/>
  <c r="K98" i="10" s="1"/>
  <c r="I63" i="9"/>
  <c r="K63" i="9" s="1"/>
  <c r="I9" i="9"/>
  <c r="K9" i="9" s="1"/>
  <c r="I87" i="9"/>
  <c r="K87" i="9" s="1"/>
  <c r="I113" i="9"/>
  <c r="K113" i="9" s="1"/>
  <c r="I45" i="8"/>
  <c r="K45" i="8" s="1"/>
  <c r="I113" i="8"/>
  <c r="K113" i="8" s="1"/>
  <c r="I12" i="9"/>
  <c r="K12" i="9" s="1"/>
  <c r="I66" i="9"/>
  <c r="K66" i="9" s="1"/>
  <c r="I90" i="9"/>
  <c r="K90" i="9" s="1"/>
  <c r="I116" i="9"/>
  <c r="K116" i="9" s="1"/>
  <c r="I6" i="10"/>
  <c r="K6" i="10" s="1"/>
  <c r="I66" i="8"/>
  <c r="K66" i="8" s="1"/>
  <c r="I90" i="8"/>
  <c r="K90" i="8" s="1"/>
  <c r="I6" i="9"/>
  <c r="K6" i="9" s="1"/>
  <c r="I37" i="9"/>
  <c r="K37" i="9" s="1"/>
  <c r="I72" i="9"/>
  <c r="K72" i="9" s="1"/>
  <c r="I34" i="8"/>
  <c r="K34" i="8" s="1"/>
  <c r="I116" i="8"/>
  <c r="K116" i="8" s="1"/>
  <c r="I63" i="8"/>
  <c r="K63" i="8" s="1"/>
  <c r="I98" i="8"/>
  <c r="K98" i="8" s="1"/>
  <c r="I45" i="9"/>
  <c r="K45" i="9" s="1"/>
  <c r="I87" i="8"/>
  <c r="K87" i="8" s="1"/>
  <c r="I34" i="9"/>
  <c r="K34" i="9" s="1"/>
  <c r="I90" i="10"/>
  <c r="K90" i="10" s="1"/>
  <c r="I72" i="10"/>
  <c r="K72" i="10" s="1"/>
  <c r="I113" i="10"/>
  <c r="K113" i="10" s="1"/>
  <c r="I125" i="10"/>
  <c r="K125" i="10" s="1"/>
  <c r="I87" i="10"/>
  <c r="K87" i="10" s="1"/>
  <c r="I119" i="10"/>
  <c r="K119" i="10" s="1"/>
  <c r="I116" i="10"/>
  <c r="K116" i="10" s="1"/>
  <c r="I63" i="10"/>
  <c r="K63" i="10" s="1"/>
  <c r="I66" i="10"/>
  <c r="K66" i="10" s="1"/>
  <c r="I60" i="10"/>
  <c r="K60" i="10" s="1"/>
  <c r="I34" i="10"/>
  <c r="K34" i="10" s="1"/>
  <c r="I37" i="10"/>
  <c r="K37" i="10" s="1"/>
  <c r="I45" i="10"/>
  <c r="K45" i="10" s="1"/>
  <c r="I9" i="10"/>
  <c r="K9" i="10" s="1"/>
  <c r="I12" i="10"/>
  <c r="K12" i="10" s="1"/>
  <c r="G23" i="10"/>
  <c r="G162" i="8"/>
  <c r="G131" i="9"/>
  <c r="G131" i="10"/>
  <c r="G78" i="8"/>
  <c r="G51" i="9"/>
  <c r="G78" i="9"/>
  <c r="G51" i="10"/>
  <c r="G51" i="8"/>
  <c r="G126" i="10"/>
  <c r="G73" i="10"/>
  <c r="G78" i="10"/>
  <c r="G46" i="10"/>
  <c r="G18" i="10"/>
  <c r="G161" i="10" s="1"/>
  <c r="G99" i="10"/>
  <c r="G73" i="9"/>
  <c r="G46" i="9"/>
  <c r="G126" i="9"/>
  <c r="G18" i="9"/>
  <c r="G161" i="9" s="1"/>
  <c r="G23" i="9"/>
  <c r="G99" i="9"/>
  <c r="G131" i="8"/>
  <c r="G126" i="8"/>
  <c r="G73" i="8"/>
  <c r="G46" i="8"/>
  <c r="G23" i="8"/>
  <c r="G99" i="8"/>
  <c r="G106" i="8" s="1"/>
  <c r="I106" i="8" s="1"/>
  <c r="K106" i="8" s="1"/>
  <c r="G106" i="10" l="1"/>
  <c r="I106" i="10" s="1"/>
  <c r="K106" i="10" s="1"/>
  <c r="G106" i="9"/>
  <c r="I106" i="9" s="1"/>
  <c r="K106" i="9" s="1"/>
  <c r="G133" i="10"/>
  <c r="G133" i="9"/>
  <c r="I133" i="9" s="1"/>
  <c r="K133" i="9" s="1"/>
  <c r="G80" i="10"/>
  <c r="G80" i="9"/>
  <c r="G80" i="8"/>
  <c r="I80" i="8" s="1"/>
  <c r="K80" i="8" s="1"/>
  <c r="G53" i="9"/>
  <c r="G53" i="8"/>
  <c r="G53" i="10"/>
  <c r="G25" i="10"/>
  <c r="G25" i="9"/>
  <c r="I25" i="9" s="1"/>
  <c r="K25" i="9" s="1"/>
  <c r="G133" i="8"/>
  <c r="I133" i="8" s="1"/>
  <c r="K133" i="8" s="1"/>
  <c r="G25" i="8"/>
  <c r="I53" i="9" l="1"/>
  <c r="K53" i="9" s="1"/>
  <c r="I53" i="8"/>
  <c r="K53" i="8" s="1"/>
  <c r="I80" i="9"/>
  <c r="K80" i="9" s="1"/>
  <c r="I25" i="8"/>
  <c r="K25" i="8" s="1"/>
  <c r="I80" i="10"/>
  <c r="K80" i="10" s="1"/>
  <c r="I133" i="10"/>
  <c r="K133" i="10" s="1"/>
  <c r="I53" i="10"/>
  <c r="K53" i="10" s="1"/>
  <c r="I25" i="10"/>
  <c r="K25" i="10" s="1"/>
</calcChain>
</file>

<file path=xl/sharedStrings.xml><?xml version="1.0" encoding="utf-8"?>
<sst xmlns="http://schemas.openxmlformats.org/spreadsheetml/2006/main" count="537" uniqueCount="90">
  <si>
    <t>(stated in thousands)</t>
  </si>
  <si>
    <t>Rent</t>
  </si>
  <si>
    <t xml:space="preserve"> </t>
  </si>
  <si>
    <t>*  These costs are allocated to each of the programs.</t>
  </si>
  <si>
    <t>USAC COMMON BUDGET</t>
  </si>
  <si>
    <t>Compensation &amp; Benefits</t>
  </si>
  <si>
    <t>SCHOOLS &amp; LIBRARIES</t>
  </si>
  <si>
    <t>LOW INCOME</t>
  </si>
  <si>
    <t>RURAL HEALTH CARE</t>
  </si>
  <si>
    <t>USAC Support - Allocation of Common Budget</t>
  </si>
  <si>
    <t>Data Collection Billing Reimbursement</t>
  </si>
  <si>
    <t>HIGH COST</t>
  </si>
  <si>
    <t>Non-Program Specific Capital Budget</t>
  </si>
  <si>
    <t>TOTAL USAC COMMON OPERATING BUDGET *</t>
  </si>
  <si>
    <t>TOTAL USAC COMMON CAPITAL BUDGET *</t>
  </si>
  <si>
    <t>TOTAL USAC COMMON BUDGETS *</t>
  </si>
  <si>
    <t xml:space="preserve">     High Cost Operating Total</t>
  </si>
  <si>
    <t>USAC Support - Allocation of Common Capital Budget</t>
  </si>
  <si>
    <t xml:space="preserve">     High Cost Capital Total</t>
  </si>
  <si>
    <t>TOTAL USAC HIGH COST BUDGETS</t>
  </si>
  <si>
    <t xml:space="preserve">     Low Income Operating Total</t>
  </si>
  <si>
    <t xml:space="preserve">     Rural Health Care Operating Total</t>
  </si>
  <si>
    <t>TOTAL USAC LOW INCOME BUDGETS</t>
  </si>
  <si>
    <t xml:space="preserve">     Rural Health Care Capital Total</t>
  </si>
  <si>
    <t xml:space="preserve">     Low Income Capital Total</t>
  </si>
  <si>
    <t>TOTAL USAC RURAL HEALTH CARE BUDGETS</t>
  </si>
  <si>
    <t xml:space="preserve">     Schools &amp; Libraries Operating Total</t>
  </si>
  <si>
    <t xml:space="preserve">     Schools &amp; Libraries Capital Total</t>
  </si>
  <si>
    <t>TOTAL USAC SCHOOLS &amp; LIBRARIES BUDGETS</t>
  </si>
  <si>
    <t>Direct Capital Costs</t>
  </si>
  <si>
    <t>Travel, Training, &amp; Education</t>
  </si>
  <si>
    <t>Other Employee Expenses</t>
  </si>
  <si>
    <t>Contract Labor</t>
  </si>
  <si>
    <t>External Audits</t>
  </si>
  <si>
    <t>Other Professional Fees</t>
  </si>
  <si>
    <t>Computer Support &amp; Maintenance</t>
  </si>
  <si>
    <t>Other Expenses</t>
  </si>
  <si>
    <t>Taxes &amp; Insurance</t>
  </si>
  <si>
    <t>Lifeline Eligibility Verification</t>
  </si>
  <si>
    <t>SL Program Administration</t>
  </si>
  <si>
    <t>Hardware and Equipment</t>
  </si>
  <si>
    <t>Check to Budget Tables</t>
  </si>
  <si>
    <t>Budget Tables</t>
  </si>
  <si>
    <t>Check</t>
  </si>
  <si>
    <t>4th Quarter Operating Budget:</t>
  </si>
  <si>
    <t>4th Quarter Capital Budget:</t>
  </si>
  <si>
    <t>CHECK TO M01 REPORT</t>
  </si>
  <si>
    <t>Rounded/Categorized</t>
  </si>
  <si>
    <t>2nd Quarter Operating Budget:</t>
  </si>
  <si>
    <t>2nd Quarter Capital Budget:</t>
  </si>
  <si>
    <t>3rd Quarter Operating Budget:</t>
  </si>
  <si>
    <t>3rd Quarter Capital Budget:</t>
  </si>
  <si>
    <t>Format:</t>
  </si>
  <si>
    <t>Year:</t>
  </si>
  <si>
    <t>Scenario:</t>
  </si>
  <si>
    <t>Per. End:</t>
  </si>
  <si>
    <t>Units:</t>
  </si>
  <si>
    <t>Currency:</t>
  </si>
  <si>
    <t>USD</t>
  </si>
  <si>
    <t>Date Exported:</t>
  </si>
  <si>
    <t>Mixed Mode</t>
  </si>
  <si>
    <t>DESCRIPTION</t>
  </si>
  <si>
    <t>BUDGET 1</t>
  </si>
  <si>
    <t>Allocation of Common Operating</t>
  </si>
  <si>
    <t>Allocation of Common Capital</t>
  </si>
  <si>
    <t>Check Common Operating</t>
  </si>
  <si>
    <t>Check Common Capital</t>
  </si>
  <si>
    <t>CONNECTED CARE PILOT</t>
  </si>
  <si>
    <t>TOTAL USAC CONNECTED CARE PILOT BUDGETS</t>
  </si>
  <si>
    <t xml:space="preserve">     CONNECTED CARE PILOT Operating Total</t>
  </si>
  <si>
    <t xml:space="preserve">     CONNECTED CARE PILOT Capital Total</t>
  </si>
  <si>
    <t>BUDGET 2</t>
  </si>
  <si>
    <t>&lt;- Variance caused by capital. Broken out in M01, but not in budget tables. Net zero.</t>
  </si>
  <si>
    <t>Note 1</t>
  </si>
  <si>
    <t>Note 1: The USAC budget is not final at the time the 1Q M01 is filed. Updates to the 1Q budget are filed with the 2Q budget. In the case where the revised 1Q budget is less than the originally filed 1Q budget, the budget line can show as negative.</t>
  </si>
  <si>
    <t>From PowerPlan:</t>
  </si>
  <si>
    <t>Note: 
For 1Q, use Budget 1
For 2Q, use a calculation of the change in 1Q for Budget 1 and Budget 2, plus the 2Q Budget 2 budget
For 3Qand 4Q, use Budget 2</t>
  </si>
  <si>
    <t>EXPORT M01 POWERPLAN REPORT FOR 'CD-75 - CONNECTED CARE PILOT' ENTITY</t>
  </si>
  <si>
    <t>Reconcile with this report (screenshot)</t>
  </si>
  <si>
    <t>Rounding down -.01 in Budget Tables column from Budget and Actual Board Paper Inputs</t>
  </si>
  <si>
    <t>1Q2024</t>
  </si>
  <si>
    <t>SEP</t>
  </si>
  <si>
    <t>2Q2024</t>
  </si>
  <si>
    <t>Quarter</t>
  </si>
  <si>
    <t>1000</t>
  </si>
  <si>
    <t>1Q2025</t>
  </si>
  <si>
    <t>2Q*2025</t>
  </si>
  <si>
    <t>3Q2025</t>
  </si>
  <si>
    <t>4Q2025</t>
  </si>
  <si>
    <t>Fy2025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</si>
</sst>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4" formatCode="_(&quot;$&quot;* #,##0.00_);_(&quot;$&quot;* \(#,##0.00\);_(&quot;$&quot;* &quot;-&quot;??_);_(@_)"/>
    <numFmt numFmtId="43" formatCode="_(* #,##0.00_);_(* \(#,##0.00\);_(* &quot;-&quot;??_);_(@_)"/>
    <numFmt numFmtId="164" formatCode="#,##0.0"/>
    <numFmt numFmtId="165" formatCode="&quot;$&quot;#,##0.0"/>
    <numFmt numFmtId="166" formatCode="#,###,##0.00;\(#,###,##0.00\)"/>
    <numFmt numFmtId="167" formatCode="&quot;$&quot;#,###,##0.00;\(&quot;$&quot;#,###,##0.00\)"/>
    <numFmt numFmtId="168" formatCode="#,##0.00%;\(#,##0.00%\)"/>
    <numFmt numFmtId="169" formatCode="_(* #,##0.00_);_(* \(\ #,##0.00\ \);_(* &quot;-&quot;??_);_(\ @_ \)"/>
    <numFmt numFmtId="170" formatCode="_(&quot;$&quot;* #,##0.00_);_(&quot;$&quot;* \(\ #,##0.00\ \);_(&quot;$&quot;* &quot;-&quot;??_);_(\ @_ \)"/>
    <numFmt numFmtId="171" formatCode="&quot;$&quot;#,###,##0.0;\(&quot;$&quot;#,###,##0.0\)"/>
    <numFmt numFmtId="172" formatCode="#,###,##0.0;\(#,###,##0.0\)"/>
    <numFmt numFmtId="173" formatCode="&quot;$&quot;#,###,##0;\(&quot;$&quot;#,###,##0\)"/>
    <numFmt numFmtId="174" formatCode="#,###,##0;\(#,###,##0\)"/>
  </numFmts>
  <fonts count="7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0"/>
      <color indexed="8"/>
      <name val="Arial"/>
      <family val="2"/>
    </font>
    <font>
      <b/>
      <u/>
      <sz val="12"/>
      <color indexed="8"/>
      <name val="Times New Roman"/>
      <family val="1"/>
    </font>
    <font>
      <b/>
      <sz val="10"/>
      <color indexed="8"/>
      <name val="Times New Roman"/>
      <family val="1"/>
    </font>
    <font>
      <b/>
      <sz val="12"/>
      <color indexed="8"/>
      <name val="Times New Roman"/>
      <family val="1"/>
    </font>
    <font>
      <b/>
      <sz val="12"/>
      <color indexed="8"/>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indexed="8"/>
      <name val="Times New Roman"/>
      <family val="1"/>
    </font>
    <font>
      <sz val="10"/>
      <color indexed="0"/>
      <name val="Arial"/>
      <family val="2"/>
    </font>
    <font>
      <sz val="10"/>
      <name val="Arial"/>
      <family val="2"/>
    </font>
    <font>
      <b/>
      <sz val="12"/>
      <color indexed="0"/>
      <name val="Times New Roman"/>
      <family val="1"/>
    </font>
    <font>
      <b/>
      <sz val="10"/>
      <color indexed="0"/>
      <name val="Arial"/>
      <family val="2"/>
    </font>
    <font>
      <b/>
      <i/>
      <sz val="10"/>
      <color indexed="4"/>
      <name val="Arial"/>
      <family val="2"/>
    </font>
    <font>
      <b/>
      <sz val="12"/>
      <color indexed="0"/>
      <name val="Arial"/>
      <family val="2"/>
    </font>
    <font>
      <sz val="10"/>
      <color indexed="0"/>
      <name val="Arial"/>
      <family val="2"/>
    </font>
    <font>
      <b/>
      <u/>
      <sz val="12"/>
      <color indexed="0"/>
      <name val="Times New Roman"/>
      <family val="1"/>
    </font>
    <font>
      <b/>
      <sz val="10"/>
      <color indexed="0"/>
      <name val="Times New Roman"/>
      <family val="1"/>
    </font>
    <font>
      <b/>
      <sz val="12"/>
      <color indexed="0"/>
      <name val="Times New Roman"/>
      <family val="1"/>
    </font>
    <font>
      <b/>
      <sz val="10"/>
      <color indexed="0"/>
      <name val="Arial"/>
      <family val="2"/>
    </font>
    <font>
      <b/>
      <i/>
      <sz val="10"/>
      <color indexed="0"/>
      <name val="Arial"/>
      <family val="2"/>
    </font>
    <font>
      <b/>
      <i/>
      <sz val="10"/>
      <color indexed="4"/>
      <name val="Arial"/>
      <family val="2"/>
    </font>
    <font>
      <b/>
      <sz val="12"/>
      <color indexed="0"/>
      <name val="Arial"/>
      <family val="2"/>
    </font>
    <font>
      <sz val="10"/>
      <color indexed="0"/>
      <name val="Arial"/>
      <family val="2"/>
    </font>
    <font>
      <sz val="10"/>
      <name val="Tahoma"/>
      <family val="2"/>
    </font>
    <font>
      <b/>
      <u/>
      <sz val="12"/>
      <color indexed="0"/>
      <name val="Times New Roman"/>
      <family val="1"/>
    </font>
    <font>
      <b/>
      <sz val="10"/>
      <color indexed="0"/>
      <name val="Times New Roman"/>
      <family val="1"/>
    </font>
    <font>
      <b/>
      <sz val="12"/>
      <color indexed="0"/>
      <name val="Times New Roman"/>
      <family val="1"/>
    </font>
    <font>
      <b/>
      <sz val="10"/>
      <color indexed="0"/>
      <name val="Arial"/>
      <family val="2"/>
    </font>
    <font>
      <b/>
      <i/>
      <sz val="10"/>
      <color indexed="0"/>
      <name val="Arial"/>
      <family val="2"/>
    </font>
    <font>
      <b/>
      <i/>
      <sz val="10"/>
      <color indexed="4"/>
      <name val="Arial"/>
      <family val="2"/>
    </font>
    <font>
      <b/>
      <sz val="12"/>
      <color indexed="0"/>
      <name val="Arial"/>
      <family val="2"/>
    </font>
    <font>
      <b/>
      <i/>
      <sz val="10"/>
      <color indexed="0"/>
      <name val="Arial"/>
      <family val="2"/>
    </font>
    <font>
      <b/>
      <i/>
      <sz val="10"/>
      <color indexed="4"/>
      <name val="Arial"/>
      <family val="2"/>
    </font>
    <font>
      <sz val="12"/>
      <color indexed="0"/>
      <name val="Times New Roman"/>
      <family val="1"/>
    </font>
    <font>
      <sz val="10"/>
      <name val="Times New Roman"/>
      <family val="1"/>
    </font>
    <font>
      <b/>
      <sz val="12"/>
      <name val="Times New Roman"/>
      <family val="1"/>
    </font>
    <font>
      <b/>
      <sz val="10"/>
      <name val="Times New Roman"/>
      <family val="1"/>
    </font>
    <font>
      <b/>
      <u/>
      <sz val="10"/>
      <name val="Times New Roman"/>
      <family val="1"/>
    </font>
    <font>
      <sz val="10"/>
      <color indexed="0"/>
      <name val="Times New Roman"/>
      <family val="1"/>
    </font>
    <font>
      <i/>
      <sz val="10"/>
      <name val="Times New Roman"/>
      <family val="1"/>
    </font>
    <font>
      <i/>
      <sz val="10"/>
      <name val="Arial"/>
      <family val="2"/>
    </font>
    <font>
      <b/>
      <sz val="11"/>
      <name val="Calibri"/>
      <family val="2"/>
      <scheme val="minor"/>
    </font>
    <font>
      <sz val="11"/>
      <name val="Calibri"/>
      <family val="2"/>
      <scheme val="minor"/>
    </font>
    <font>
      <b/>
      <sz val="9"/>
      <color rgb="FFFF0000"/>
      <name val="Times New Roman"/>
      <family val="1"/>
    </font>
    <font>
      <b/>
      <sz val="12"/>
      <name val="Calibri"/>
      <family val="2"/>
      <scheme val="minor"/>
    </font>
    <font>
      <sz val="8"/>
      <name val="Arial"/>
      <family val="2"/>
    </font>
    <font>
      <sz val="14"/>
      <color rgb="FFFF0000"/>
      <name val="Calibri"/>
      <family val="2"/>
      <scheme val="minor"/>
    </font>
    <font>
      <sz val="16"/>
      <color rgb="FFFF0000"/>
      <name val="Calibri"/>
      <family val="2"/>
      <scheme val="minor"/>
    </font>
    <font>
      <b/>
      <i/>
      <sz val="8"/>
      <color rgb="FFFF0000"/>
      <name val="Arial"/>
      <family val="2"/>
    </font>
    <font>
      <sz val="9"/>
      <color rgb="FFFF0000"/>
      <name val="Arial"/>
      <family val="2"/>
    </font>
    <font>
      <sz val="11"/>
      <color rgb="FF000000"/>
      <name val="Calibri"/>
      <family val="2"/>
      <scheme val="minor"/>
    </font>
    <font>
      <b/>
      <sz val="10"/>
      <name val="Arial"/>
      <family val="2"/>
    </font>
  </fonts>
  <fills count="39">
    <fill>
      <patternFill patternType="none"/>
    </fill>
    <fill>
      <patternFill patternType="gray125"/>
    </fill>
    <fill>
      <patternFill patternType="solid">
        <fgColor indexed="2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8"/>
      </patternFill>
    </fill>
    <fill>
      <patternFill patternType="solid">
        <fgColor theme="0"/>
        <bgColor indexed="64"/>
      </patternFill>
    </fill>
    <fill>
      <patternFill patternType="solid">
        <fgColor indexed="9"/>
      </patternFill>
    </fill>
    <fill>
      <patternFill patternType="solid">
        <fgColor rgb="FFFFFF00"/>
        <bgColor indexed="64"/>
      </patternFill>
    </fill>
    <fill>
      <patternFill patternType="solid">
        <fgColor rgb="FFFFFFFF"/>
        <bgColor indexed="64"/>
      </patternFill>
    </fill>
  </fills>
  <borders count="17">
    <border>
      <left/>
      <right/>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992">
    <xf numFmtId="0" fontId="0" fillId="0" borderId="0"/>
    <xf numFmtId="44" fontId="11" fillId="0" borderId="0" applyFont="0" applyFill="0" applyBorder="0" applyAlignment="0" applyProtection="0"/>
    <xf numFmtId="0" fontId="10" fillId="0" borderId="0" applyProtection="0"/>
    <xf numFmtId="43" fontId="10" fillId="0" borderId="0" applyFont="0" applyFill="0" applyBorder="0" applyAlignment="0" applyProtection="0"/>
    <xf numFmtId="9" fontId="10" fillId="0" borderId="0" applyFont="0" applyFill="0" applyBorder="0" applyAlignment="0" applyProtection="0"/>
    <xf numFmtId="0" fontId="12" fillId="0" borderId="0" applyNumberFormat="0" applyBorder="0" applyAlignment="0"/>
    <xf numFmtId="0" fontId="13" fillId="0" borderId="0" applyNumberFormat="0" applyBorder="0" applyAlignment="0"/>
    <xf numFmtId="0" fontId="14" fillId="0" borderId="0" applyNumberFormat="0" applyBorder="0" applyAlignment="0"/>
    <xf numFmtId="0" fontId="15" fillId="0" borderId="0" applyNumberFormat="0" applyBorder="0" applyAlignment="0"/>
    <xf numFmtId="0" fontId="16" fillId="2" borderId="0" applyNumberFormat="0" applyBorder="0" applyAlignment="0"/>
    <xf numFmtId="44"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0" fontId="9" fillId="0" borderId="0"/>
    <xf numFmtId="0" fontId="10" fillId="0" borderId="0"/>
    <xf numFmtId="0" fontId="16" fillId="2" borderId="0" applyNumberFormat="0" applyBorder="0" applyAlignment="0"/>
    <xf numFmtId="44" fontId="9" fillId="0" borderId="0" applyFont="0" applyFill="0" applyBorder="0" applyAlignment="0" applyProtection="0"/>
    <xf numFmtId="0" fontId="10" fillId="0" borderId="0"/>
    <xf numFmtId="0" fontId="10" fillId="0" borderId="0"/>
    <xf numFmtId="0" fontId="10" fillId="0" borderId="0"/>
    <xf numFmtId="0" fontId="10" fillId="0" borderId="0"/>
    <xf numFmtId="0" fontId="9" fillId="0" borderId="0"/>
    <xf numFmtId="44" fontId="10" fillId="0" borderId="0" applyFont="0" applyFill="0" applyBorder="0" applyAlignment="0" applyProtection="0"/>
    <xf numFmtId="0" fontId="17" fillId="0" borderId="0" applyNumberFormat="0" applyFill="0" applyBorder="0" applyAlignment="0" applyProtection="0"/>
    <xf numFmtId="0" fontId="18" fillId="0" borderId="2"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0" applyNumberFormat="0" applyFill="0" applyBorder="0" applyAlignment="0" applyProtection="0"/>
    <xf numFmtId="0" fontId="21" fillId="3" borderId="0" applyNumberFormat="0" applyBorder="0" applyAlignment="0" applyProtection="0"/>
    <xf numFmtId="0" fontId="22" fillId="4" borderId="0" applyNumberFormat="0" applyBorder="0" applyAlignment="0" applyProtection="0"/>
    <xf numFmtId="0" fontId="23" fillId="5" borderId="0" applyNumberFormat="0" applyBorder="0" applyAlignment="0" applyProtection="0"/>
    <xf numFmtId="0" fontId="24" fillId="6" borderId="5" applyNumberFormat="0" applyAlignment="0" applyProtection="0"/>
    <xf numFmtId="0" fontId="25" fillId="7" borderId="6" applyNumberFormat="0" applyAlignment="0" applyProtection="0"/>
    <xf numFmtId="0" fontId="26" fillId="7" borderId="5" applyNumberFormat="0" applyAlignment="0" applyProtection="0"/>
    <xf numFmtId="0" fontId="27" fillId="0" borderId="7" applyNumberFormat="0" applyFill="0" applyAlignment="0" applyProtection="0"/>
    <xf numFmtId="0" fontId="28" fillId="8" borderId="8" applyNumberFormat="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0" borderId="10" applyNumberFormat="0" applyFill="0" applyAlignment="0" applyProtection="0"/>
    <xf numFmtId="0" fontId="32"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32" fillId="13" borderId="0" applyNumberFormat="0" applyBorder="0" applyAlignment="0" applyProtection="0"/>
    <xf numFmtId="0" fontId="32"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32" fillId="17" borderId="0" applyNumberFormat="0" applyBorder="0" applyAlignment="0" applyProtection="0"/>
    <xf numFmtId="0" fontId="32"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32" fillId="33" borderId="0" applyNumberFormat="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0" fontId="8" fillId="0" borderId="0"/>
    <xf numFmtId="0" fontId="8" fillId="9" borderId="9" applyNumberFormat="0" applyFont="0" applyAlignment="0" applyProtection="0"/>
    <xf numFmtId="0" fontId="10" fillId="0" borderId="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33" fillId="0" borderId="0" applyNumberFormat="0" applyBorder="0" applyAlignment="0"/>
    <xf numFmtId="0" fontId="15" fillId="0" borderId="0" applyNumberFormat="0" applyBorder="0" applyAlignment="0"/>
    <xf numFmtId="0" fontId="8" fillId="0" borderId="0"/>
    <xf numFmtId="166" fontId="34" fillId="0" borderId="0"/>
    <xf numFmtId="167" fontId="34" fillId="0" borderId="0"/>
    <xf numFmtId="168" fontId="34" fillId="0" borderId="0"/>
    <xf numFmtId="0" fontId="8"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7" fillId="0" borderId="0"/>
    <xf numFmtId="0" fontId="7" fillId="9" borderId="9" applyNumberFormat="0" applyFont="0" applyAlignment="0" applyProtection="0"/>
    <xf numFmtId="0" fontId="7" fillId="11" borderId="0" applyNumberFormat="0" applyBorder="0" applyAlignment="0" applyProtection="0"/>
    <xf numFmtId="0" fontId="7" fillId="12"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35" fillId="0" borderId="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34" fillId="0" borderId="0"/>
    <xf numFmtId="0" fontId="38" fillId="34" borderId="0"/>
    <xf numFmtId="0" fontId="39" fillId="0" borderId="0"/>
    <xf numFmtId="43" fontId="35" fillId="0" borderId="0" applyFont="0" applyFill="0" applyBorder="0" applyAlignment="0" applyProtection="0"/>
    <xf numFmtId="0" fontId="40" fillId="0" borderId="0"/>
    <xf numFmtId="166" fontId="40" fillId="0" borderId="0"/>
    <xf numFmtId="167" fontId="40" fillId="0" borderId="0"/>
    <xf numFmtId="168" fontId="40" fillId="0" borderId="0"/>
    <xf numFmtId="0" fontId="40" fillId="0" borderId="0"/>
    <xf numFmtId="0" fontId="41" fillId="0" borderId="0"/>
    <xf numFmtId="0" fontId="42" fillId="0" borderId="0"/>
    <xf numFmtId="0" fontId="43" fillId="0" borderId="0"/>
    <xf numFmtId="0" fontId="44" fillId="0" borderId="0"/>
    <xf numFmtId="0" fontId="45" fillId="0" borderId="0"/>
    <xf numFmtId="0" fontId="46" fillId="34" borderId="0"/>
    <xf numFmtId="0" fontId="47" fillId="0" borderId="0"/>
    <xf numFmtId="44"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0" fontId="6" fillId="0" borderId="0"/>
    <xf numFmtId="0" fontId="35" fillId="0" borderId="0" applyProtection="0"/>
    <xf numFmtId="44" fontId="6" fillId="0" borderId="0" applyFont="0" applyFill="0" applyBorder="0" applyAlignment="0" applyProtection="0"/>
    <xf numFmtId="0" fontId="6" fillId="0" borderId="0"/>
    <xf numFmtId="0" fontId="6" fillId="0" borderId="0"/>
    <xf numFmtId="0" fontId="6" fillId="0" borderId="0"/>
    <xf numFmtId="43" fontId="6" fillId="0" borderId="0" applyFont="0" applyFill="0" applyBorder="0" applyAlignment="0" applyProtection="0"/>
    <xf numFmtId="9"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44" fontId="10" fillId="0" borderId="0" applyFont="0" applyFill="0" applyBorder="0" applyAlignment="0" applyProtection="0"/>
    <xf numFmtId="0" fontId="6" fillId="0" borderId="0"/>
    <xf numFmtId="0" fontId="6" fillId="0" borderId="0"/>
    <xf numFmtId="0" fontId="6" fillId="0" borderId="0"/>
    <xf numFmtId="43" fontId="6" fillId="0" borderId="0" applyFont="0" applyFill="0" applyBorder="0" applyAlignment="0" applyProtection="0"/>
    <xf numFmtId="9"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0" fontId="6" fillId="0" borderId="0"/>
    <xf numFmtId="43" fontId="6" fillId="0" borderId="0" applyFont="0" applyFill="0" applyBorder="0" applyAlignment="0" applyProtection="0"/>
    <xf numFmtId="9"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0" fontId="6" fillId="0" borderId="0"/>
    <xf numFmtId="43" fontId="6" fillId="0" borderId="0" applyFont="0" applyFill="0" applyBorder="0" applyAlignment="0" applyProtection="0"/>
    <xf numFmtId="9"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43" fontId="6" fillId="0" borderId="0" applyFont="0" applyFill="0" applyBorder="0" applyAlignment="0" applyProtection="0"/>
    <xf numFmtId="9"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0" fontId="6" fillId="0" borderId="0"/>
    <xf numFmtId="43" fontId="6" fillId="0" borderId="0" applyFont="0" applyFill="0" applyBorder="0" applyAlignment="0" applyProtection="0"/>
    <xf numFmtId="9"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48" fillId="0" borderId="0"/>
    <xf numFmtId="169" fontId="49" fillId="0" borderId="0" applyFont="0" applyFill="0" applyBorder="0" applyAlignment="0" applyProtection="0"/>
    <xf numFmtId="170" fontId="49" fillId="0" borderId="0" applyFont="0" applyFill="0" applyBorder="0" applyAlignment="0" applyProtection="0"/>
    <xf numFmtId="166" fontId="48" fillId="0" borderId="0"/>
    <xf numFmtId="167" fontId="48" fillId="0" borderId="0"/>
    <xf numFmtId="168" fontId="48" fillId="0" borderId="0"/>
    <xf numFmtId="0" fontId="48" fillId="0" borderId="0"/>
    <xf numFmtId="0" fontId="50" fillId="0" borderId="0"/>
    <xf numFmtId="0" fontId="51" fillId="0" borderId="0"/>
    <xf numFmtId="0" fontId="48" fillId="34" borderId="0"/>
    <xf numFmtId="0" fontId="52" fillId="0" borderId="0"/>
    <xf numFmtId="0" fontId="53" fillId="0" borderId="0"/>
    <xf numFmtId="0" fontId="54" fillId="0" borderId="0"/>
    <xf numFmtId="0" fontId="55" fillId="34" borderId="0"/>
    <xf numFmtId="0" fontId="56" fillId="0" borderId="0"/>
    <xf numFmtId="0" fontId="57" fillId="0" borderId="0"/>
    <xf numFmtId="0" fontId="58" fillId="34" borderId="0"/>
    <xf numFmtId="0" fontId="5" fillId="0" borderId="0"/>
    <xf numFmtId="44" fontId="5" fillId="0" borderId="0" applyFont="0" applyFill="0" applyBorder="0" applyAlignment="0" applyProtection="0"/>
    <xf numFmtId="0" fontId="10" fillId="0" borderId="0" applyProtection="0"/>
    <xf numFmtId="9" fontId="10" fillId="0" borderId="0" applyFont="0" applyFill="0" applyBorder="0" applyAlignment="0" applyProtection="0"/>
    <xf numFmtId="44" fontId="10"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39" fillId="0" borderId="0"/>
    <xf numFmtId="0" fontId="34" fillId="0" borderId="0"/>
    <xf numFmtId="172" fontId="34" fillId="0" borderId="0"/>
    <xf numFmtId="171" fontId="34" fillId="0" borderId="0"/>
    <xf numFmtId="168" fontId="34" fillId="0" borderId="0"/>
    <xf numFmtId="9" fontId="49" fillId="0" borderId="0" applyFont="0" applyFill="0" applyBorder="0" applyAlignment="0" applyProtection="0"/>
    <xf numFmtId="0" fontId="34" fillId="0" borderId="0"/>
    <xf numFmtId="0" fontId="34" fillId="34" borderId="0"/>
    <xf numFmtId="0" fontId="36" fillId="0" borderId="0"/>
    <xf numFmtId="0" fontId="37" fillId="0" borderId="0"/>
    <xf numFmtId="0" fontId="45" fillId="0" borderId="0"/>
    <xf numFmtId="0" fontId="38" fillId="34" borderId="0"/>
    <xf numFmtId="0" fontId="39" fillId="0" borderId="0"/>
    <xf numFmtId="43" fontId="10"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169" fontId="49" fillId="0" borderId="0" applyFont="0" applyFill="0" applyBorder="0" applyAlignment="0" applyProtection="0"/>
    <xf numFmtId="166" fontId="34" fillId="0" borderId="0"/>
    <xf numFmtId="167" fontId="34" fillId="0" borderId="0"/>
    <xf numFmtId="0" fontId="10" fillId="0" borderId="0" applyProtection="0"/>
    <xf numFmtId="0" fontId="5" fillId="0" borderId="0"/>
    <xf numFmtId="0" fontId="5" fillId="0" borderId="0"/>
    <xf numFmtId="0" fontId="5" fillId="0" borderId="0"/>
    <xf numFmtId="43"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4" fillId="0" borderId="0"/>
    <xf numFmtId="43" fontId="4" fillId="0" borderId="0" applyFont="0" applyFill="0" applyBorder="0" applyAlignment="0" applyProtection="0"/>
    <xf numFmtId="0" fontId="34" fillId="0" borderId="0"/>
    <xf numFmtId="174" fontId="34" fillId="0" borderId="0"/>
    <xf numFmtId="173" fontId="34" fillId="0" borderId="0"/>
    <xf numFmtId="0" fontId="34" fillId="36" borderId="0"/>
    <xf numFmtId="0" fontId="36" fillId="0" borderId="0"/>
    <xf numFmtId="0" fontId="34" fillId="0" borderId="0"/>
    <xf numFmtId="174" fontId="34" fillId="0" borderId="0"/>
    <xf numFmtId="168" fontId="34" fillId="0" borderId="0"/>
    <xf numFmtId="9" fontId="34" fillId="0" borderId="0" applyFont="0" applyFill="0" applyBorder="0" applyAlignment="0" applyProtection="0"/>
    <xf numFmtId="0" fontId="10" fillId="0" borderId="0"/>
    <xf numFmtId="9" fontId="10" fillId="0" borderId="0" applyFont="0" applyFill="0" applyBorder="0" applyAlignment="0" applyProtection="0"/>
    <xf numFmtId="0" fontId="12" fillId="0" borderId="0" applyNumberFormat="0" applyBorder="0" applyAlignment="0"/>
    <xf numFmtId="0" fontId="13" fillId="0" borderId="0" applyNumberFormat="0" applyBorder="0" applyAlignment="0"/>
    <xf numFmtId="0" fontId="14" fillId="0" borderId="0" applyNumberFormat="0" applyBorder="0" applyAlignment="0"/>
    <xf numFmtId="0" fontId="16" fillId="2" borderId="0" applyNumberFormat="0" applyBorder="0" applyAlignment="0"/>
    <xf numFmtId="0" fontId="4" fillId="0" borderId="0"/>
    <xf numFmtId="0" fontId="4" fillId="0" borderId="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34" fillId="0" borderId="0"/>
    <xf numFmtId="169" fontId="49"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74" fontId="34" fillId="0" borderId="0"/>
    <xf numFmtId="166" fontId="34" fillId="0" borderId="0"/>
    <xf numFmtId="167" fontId="34" fillId="0" borderId="0"/>
    <xf numFmtId="0" fontId="4" fillId="0" borderId="0"/>
    <xf numFmtId="0" fontId="34" fillId="0" borderId="0"/>
    <xf numFmtId="0" fontId="10" fillId="0" borderId="0"/>
    <xf numFmtId="0" fontId="4" fillId="0" borderId="0"/>
    <xf numFmtId="0" fontId="4" fillId="0" borderId="0"/>
    <xf numFmtId="0" fontId="10" fillId="0" borderId="0" applyProtection="0"/>
    <xf numFmtId="0" fontId="10" fillId="0" borderId="0" applyProtection="0"/>
    <xf numFmtId="9" fontId="4" fillId="0" borderId="0" applyFont="0" applyFill="0" applyBorder="0" applyAlignment="0" applyProtection="0"/>
    <xf numFmtId="0" fontId="15" fillId="0" borderId="0" applyNumberFormat="0" applyBorder="0" applyAlignment="0"/>
    <xf numFmtId="0" fontId="16" fillId="2" borderId="0" applyNumberFormat="0" applyBorder="0" applyAlignment="0"/>
    <xf numFmtId="0" fontId="10" fillId="0" borderId="0"/>
    <xf numFmtId="0" fontId="15" fillId="0" borderId="0" applyNumberFormat="0" applyBorder="0" applyAlignment="0"/>
    <xf numFmtId="0" fontId="4" fillId="0" borderId="0"/>
    <xf numFmtId="0" fontId="10" fillId="0" borderId="0"/>
    <xf numFmtId="43" fontId="10" fillId="0" borderId="0" applyFont="0" applyFill="0" applyBorder="0" applyAlignment="0" applyProtection="0"/>
    <xf numFmtId="44" fontId="10" fillId="0" borderId="0" applyFont="0" applyFill="0" applyBorder="0" applyAlignment="0" applyProtection="0"/>
    <xf numFmtId="0" fontId="4" fillId="0" borderId="0"/>
    <xf numFmtId="0" fontId="4" fillId="9" borderId="9" applyNumberFormat="0" applyFont="0" applyAlignment="0" applyProtection="0"/>
    <xf numFmtId="174" fontId="34" fillId="0" borderId="0"/>
    <xf numFmtId="173" fontId="34" fillId="0" borderId="0"/>
    <xf numFmtId="168" fontId="34" fillId="0" borderId="0"/>
    <xf numFmtId="0" fontId="34" fillId="0" borderId="0"/>
    <xf numFmtId="0" fontId="41" fillId="0" borderId="0"/>
    <xf numFmtId="0" fontId="42" fillId="0" borderId="0"/>
    <xf numFmtId="0" fontId="34" fillId="34" borderId="0"/>
    <xf numFmtId="0" fontId="10" fillId="0" borderId="0"/>
    <xf numFmtId="168" fontId="34" fillId="0" borderId="0"/>
    <xf numFmtId="0" fontId="34" fillId="0" borderId="0"/>
    <xf numFmtId="0" fontId="41" fillId="0" borderId="0"/>
    <xf numFmtId="0" fontId="42" fillId="0" borderId="0"/>
    <xf numFmtId="0" fontId="10" fillId="0" borderId="0" applyProtection="0"/>
    <xf numFmtId="44"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0" fontId="42" fillId="0" borderId="0"/>
    <xf numFmtId="0" fontId="41" fillId="0" borderId="0"/>
    <xf numFmtId="170" fontId="49"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9" fontId="34" fillId="0" borderId="0" applyFont="0" applyFill="0" applyBorder="0" applyAlignment="0" applyProtection="0"/>
    <xf numFmtId="0" fontId="4" fillId="0" borderId="0"/>
    <xf numFmtId="43" fontId="4" fillId="0" borderId="0" applyFont="0" applyFill="0" applyBorder="0" applyAlignment="0" applyProtection="0"/>
    <xf numFmtId="0" fontId="10" fillId="0" borderId="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4"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44" fontId="10"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169" fontId="49" fillId="0" borderId="0" applyFont="0" applyFill="0" applyBorder="0" applyAlignment="0" applyProtection="0"/>
    <xf numFmtId="0" fontId="10" fillId="0" borderId="0" applyProtection="0"/>
    <xf numFmtId="9" fontId="10"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44" fontId="10"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10" fillId="0" borderId="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34" fillId="0" borderId="0"/>
    <xf numFmtId="0" fontId="41" fillId="0" borderId="0"/>
    <xf numFmtId="0" fontId="42" fillId="0" borderId="0"/>
    <xf numFmtId="0" fontId="37" fillId="0" borderId="0"/>
    <xf numFmtId="0" fontId="45" fillId="0" borderId="0"/>
    <xf numFmtId="0" fontId="38" fillId="34" borderId="0"/>
    <xf numFmtId="169" fontId="49" fillId="0" borderId="0" applyFont="0" applyFill="0" applyBorder="0" applyAlignment="0" applyProtection="0"/>
    <xf numFmtId="0" fontId="34" fillId="34" borderId="0"/>
    <xf numFmtId="0" fontId="36" fillId="0" borderId="0"/>
    <xf numFmtId="0" fontId="39" fillId="0" borderId="0"/>
    <xf numFmtId="44"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34" fillId="0" borderId="0"/>
    <xf numFmtId="0" fontId="34" fillId="0" borderId="0"/>
    <xf numFmtId="169" fontId="49" fillId="0" borderId="0" applyFont="0" applyFill="0" applyBorder="0" applyAlignment="0" applyProtection="0"/>
    <xf numFmtId="174" fontId="34" fillId="0" borderId="0"/>
    <xf numFmtId="173" fontId="34" fillId="0" borderId="0"/>
    <xf numFmtId="168" fontId="34" fillId="0" borderId="0"/>
    <xf numFmtId="0" fontId="34" fillId="34" borderId="0"/>
    <xf numFmtId="0" fontId="10" fillId="0" borderId="0"/>
    <xf numFmtId="0" fontId="10" fillId="0" borderId="0" applyProtection="0"/>
    <xf numFmtId="9" fontId="34" fillId="0" borderId="0" applyFont="0" applyFill="0" applyBorder="0" applyAlignment="0" applyProtection="0"/>
    <xf numFmtId="0" fontId="4" fillId="9" borderId="9" applyNumberFormat="0" applyFont="0" applyAlignment="0" applyProtection="0"/>
    <xf numFmtId="0" fontId="34" fillId="0" borderId="0"/>
    <xf numFmtId="0" fontId="41" fillId="0" borderId="0"/>
    <xf numFmtId="0" fontId="42" fillId="0" borderId="0"/>
    <xf numFmtId="0" fontId="34" fillId="36" borderId="0"/>
    <xf numFmtId="0" fontId="39" fillId="0" borderId="0"/>
    <xf numFmtId="43" fontId="34" fillId="0" borderId="0" applyFont="0" applyFill="0" applyBorder="0" applyAlignment="0" applyProtection="0"/>
    <xf numFmtId="44" fontId="34" fillId="0" borderId="0" applyFont="0" applyFill="0" applyBorder="0" applyAlignment="0" applyProtection="0"/>
    <xf numFmtId="0" fontId="4" fillId="0" borderId="0"/>
    <xf numFmtId="43" fontId="4" fillId="0" borderId="0" applyFont="0" applyFill="0" applyBorder="0" applyAlignment="0" applyProtection="0"/>
    <xf numFmtId="0" fontId="34" fillId="0" borderId="0"/>
    <xf numFmtId="0" fontId="34" fillId="0" borderId="0"/>
    <xf numFmtId="173" fontId="34" fillId="0" borderId="0"/>
    <xf numFmtId="0" fontId="34" fillId="36" borderId="0"/>
    <xf numFmtId="0" fontId="34" fillId="0" borderId="0"/>
    <xf numFmtId="43" fontId="34" fillId="0" borderId="0" applyFont="0" applyFill="0" applyBorder="0" applyAlignment="0" applyProtection="0"/>
    <xf numFmtId="44" fontId="34" fillId="0" borderId="0" applyFont="0" applyFill="0" applyBorder="0" applyAlignment="0" applyProtection="0"/>
    <xf numFmtId="9" fontId="34" fillId="0" borderId="0" applyFont="0" applyFill="0" applyBorder="0" applyAlignment="0" applyProtection="0"/>
    <xf numFmtId="43" fontId="4" fillId="0" borderId="0" applyFont="0" applyFill="0" applyBorder="0" applyAlignment="0" applyProtection="0"/>
    <xf numFmtId="9" fontId="10" fillId="0" borderId="0" applyFont="0" applyFill="0" applyBorder="0" applyAlignment="0" applyProtection="0"/>
    <xf numFmtId="43" fontId="10" fillId="0" borderId="0" applyFont="0" applyFill="0" applyBorder="0" applyAlignment="0" applyProtection="0"/>
    <xf numFmtId="0" fontId="10" fillId="0" borderId="0"/>
    <xf numFmtId="0" fontId="12" fillId="0" borderId="0" applyNumberFormat="0" applyBorder="0" applyAlignment="0"/>
    <xf numFmtId="0" fontId="13" fillId="0" borderId="0" applyNumberFormat="0" applyBorder="0" applyAlignment="0"/>
    <xf numFmtId="0" fontId="14" fillId="0" borderId="0" applyNumberFormat="0" applyBorder="0" applyAlignment="0"/>
    <xf numFmtId="0" fontId="10" fillId="0" borderId="0"/>
    <xf numFmtId="0" fontId="34" fillId="0" borderId="0"/>
    <xf numFmtId="0" fontId="33" fillId="0" borderId="0" applyNumberFormat="0" applyBorder="0" applyAlignment="0"/>
    <xf numFmtId="0" fontId="15" fillId="0" borderId="0" applyNumberFormat="0" applyBorder="0" applyAlignment="0"/>
    <xf numFmtId="166" fontId="34" fillId="0" borderId="0"/>
    <xf numFmtId="167" fontId="34" fillId="0" borderId="0"/>
    <xf numFmtId="0" fontId="39" fillId="0" borderId="0"/>
    <xf numFmtId="0" fontId="39" fillId="0" borderId="0"/>
    <xf numFmtId="43" fontId="34" fillId="0" borderId="0" applyFont="0" applyFill="0" applyBorder="0" applyAlignment="0" applyProtection="0"/>
    <xf numFmtId="43" fontId="34" fillId="0" borderId="0" applyFont="0" applyFill="0" applyBorder="0" applyAlignment="0" applyProtection="0"/>
    <xf numFmtId="44"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4" fontId="34" fillId="0" borderId="0" applyFont="0" applyFill="0" applyBorder="0" applyAlignment="0" applyProtection="0"/>
    <xf numFmtId="43"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3" fontId="34" fillId="0" borderId="0" applyFont="0" applyFill="0" applyBorder="0" applyAlignment="0" applyProtection="0"/>
    <xf numFmtId="44" fontId="34" fillId="0" borderId="0" applyFont="0" applyFill="0" applyBorder="0" applyAlignment="0" applyProtection="0"/>
    <xf numFmtId="43" fontId="10" fillId="0" borderId="0" applyFont="0" applyFill="0" applyBorder="0" applyAlignment="0" applyProtection="0"/>
    <xf numFmtId="44" fontId="34" fillId="0" borderId="0" applyFont="0" applyFill="0" applyBorder="0" applyAlignment="0" applyProtection="0"/>
    <xf numFmtId="9" fontId="49" fillId="0" borderId="0" applyFont="0" applyFill="0" applyBorder="0" applyAlignment="0" applyProtection="0"/>
    <xf numFmtId="169" fontId="49" fillId="0" borderId="0" applyFont="0" applyFill="0" applyBorder="0" applyAlignment="0" applyProtection="0"/>
    <xf numFmtId="173" fontId="34" fillId="0" borderId="0"/>
    <xf numFmtId="0" fontId="34" fillId="0" borderId="0"/>
    <xf numFmtId="0" fontId="34" fillId="34" borderId="0"/>
    <xf numFmtId="0" fontId="34" fillId="36" borderId="0"/>
    <xf numFmtId="0" fontId="10" fillId="0" borderId="0" applyProtection="0"/>
    <xf numFmtId="166" fontId="34" fillId="0" borderId="0"/>
    <xf numFmtId="167" fontId="34" fillId="0" borderId="0"/>
    <xf numFmtId="44" fontId="34" fillId="0" borderId="0" applyFont="0" applyFill="0" applyBorder="0" applyAlignment="0" applyProtection="0"/>
    <xf numFmtId="174" fontId="34" fillId="0" borderId="0"/>
    <xf numFmtId="166" fontId="34" fillId="0" borderId="0"/>
    <xf numFmtId="0" fontId="39" fillId="0" borderId="0"/>
    <xf numFmtId="0" fontId="10" fillId="0" borderId="0"/>
    <xf numFmtId="0" fontId="4" fillId="0" borderId="0"/>
    <xf numFmtId="0" fontId="10" fillId="0" borderId="0"/>
    <xf numFmtId="0" fontId="36" fillId="0" borderId="0"/>
    <xf numFmtId="0" fontId="34" fillId="0" borderId="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166" fontId="34" fillId="0" borderId="0"/>
    <xf numFmtId="173" fontId="34" fillId="0" borderId="0"/>
    <xf numFmtId="167" fontId="34" fillId="0" borderId="0"/>
    <xf numFmtId="0" fontId="34" fillId="0" borderId="0"/>
    <xf numFmtId="0" fontId="34" fillId="0" borderId="0"/>
    <xf numFmtId="0" fontId="34" fillId="0" borderId="0"/>
    <xf numFmtId="0" fontId="10" fillId="0" borderId="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0" fontId="34" fillId="34" borderId="0"/>
    <xf numFmtId="0" fontId="34" fillId="36" borderId="0"/>
    <xf numFmtId="0" fontId="34" fillId="36" borderId="0"/>
    <xf numFmtId="0" fontId="59" fillId="0" borderId="0"/>
    <xf numFmtId="44" fontId="34" fillId="0" borderId="0" applyFont="0" applyFill="0" applyBorder="0" applyAlignment="0" applyProtection="0"/>
    <xf numFmtId="0" fontId="12" fillId="0" borderId="0" applyNumberFormat="0" applyBorder="0" applyAlignment="0"/>
    <xf numFmtId="0" fontId="13" fillId="0" borderId="0" applyNumberFormat="0" applyBorder="0" applyAlignment="0"/>
    <xf numFmtId="0" fontId="14" fillId="0" borderId="0" applyNumberFormat="0" applyBorder="0" applyAlignment="0"/>
    <xf numFmtId="0" fontId="15" fillId="0" borderId="0" applyNumberFormat="0" applyBorder="0" applyAlignment="0"/>
    <xf numFmtId="0" fontId="16" fillId="2" borderId="0" applyNumberFormat="0" applyBorder="0" applyAlignment="0"/>
    <xf numFmtId="0" fontId="4" fillId="0" borderId="0"/>
    <xf numFmtId="169" fontId="49" fillId="0" borderId="0" applyFont="0" applyFill="0" applyBorder="0" applyAlignment="0" applyProtection="0"/>
    <xf numFmtId="0" fontId="34" fillId="0" borderId="0"/>
    <xf numFmtId="167" fontId="34" fillId="0" borderId="0"/>
    <xf numFmtId="0" fontId="33" fillId="0" borderId="0" applyNumberFormat="0" applyBorder="0" applyAlignment="0"/>
    <xf numFmtId="0" fontId="15" fillId="0" borderId="0" applyNumberFormat="0" applyBorder="0" applyAlignment="0"/>
    <xf numFmtId="173" fontId="34" fillId="0" borderId="0"/>
    <xf numFmtId="43" fontId="34" fillId="0" borderId="0" applyFont="0" applyFill="0" applyBorder="0" applyAlignment="0" applyProtection="0"/>
    <xf numFmtId="0" fontId="34" fillId="0" borderId="0"/>
    <xf numFmtId="0" fontId="34" fillId="0" borderId="0"/>
    <xf numFmtId="173" fontId="34" fillId="0" borderId="0"/>
    <xf numFmtId="0" fontId="34" fillId="0" borderId="0"/>
    <xf numFmtId="0" fontId="34" fillId="34" borderId="0"/>
    <xf numFmtId="0" fontId="34" fillId="36" borderId="0"/>
    <xf numFmtId="0" fontId="34" fillId="0" borderId="0"/>
    <xf numFmtId="43" fontId="34" fillId="0" borderId="0" applyFont="0" applyFill="0" applyBorder="0" applyAlignment="0" applyProtection="0"/>
    <xf numFmtId="9" fontId="34" fillId="0" borderId="0" applyFont="0" applyFill="0" applyBorder="0" applyAlignment="0" applyProtection="0"/>
    <xf numFmtId="0" fontId="10" fillId="0" borderId="0"/>
    <xf numFmtId="0" fontId="10" fillId="0" borderId="0"/>
    <xf numFmtId="0" fontId="34" fillId="0" borderId="0"/>
    <xf numFmtId="0" fontId="10" fillId="0" borderId="0"/>
    <xf numFmtId="0" fontId="10" fillId="0" borderId="0"/>
    <xf numFmtId="169" fontId="49" fillId="0" borderId="0" applyFont="0" applyFill="0" applyBorder="0" applyAlignment="0" applyProtection="0"/>
    <xf numFmtId="166" fontId="34" fillId="0" borderId="0"/>
    <xf numFmtId="0" fontId="34" fillId="0" borderId="0"/>
    <xf numFmtId="0" fontId="41" fillId="0" borderId="0"/>
    <xf numFmtId="0" fontId="34" fillId="34" borderId="0"/>
    <xf numFmtId="0" fontId="42" fillId="0" borderId="0"/>
    <xf numFmtId="0" fontId="34" fillId="36" borderId="0"/>
    <xf numFmtId="0" fontId="41" fillId="0" borderId="0"/>
    <xf numFmtId="0" fontId="42" fillId="0" borderId="0"/>
    <xf numFmtId="9" fontId="10" fillId="0" borderId="0" applyFont="0" applyFill="0" applyBorder="0" applyAlignment="0" applyProtection="0"/>
    <xf numFmtId="169" fontId="49" fillId="0" borderId="0" applyFont="0" applyFill="0" applyBorder="0" applyAlignment="0" applyProtection="0"/>
    <xf numFmtId="0" fontId="10" fillId="0" borderId="0" applyProtection="0"/>
    <xf numFmtId="0" fontId="10" fillId="0" borderId="0"/>
    <xf numFmtId="0" fontId="10" fillId="0" borderId="0"/>
    <xf numFmtId="43" fontId="10" fillId="0" borderId="0" applyFont="0" applyFill="0" applyBorder="0" applyAlignment="0" applyProtection="0"/>
    <xf numFmtId="44" fontId="10" fillId="0" borderId="0" applyFont="0" applyFill="0" applyBorder="0" applyAlignment="0" applyProtection="0"/>
    <xf numFmtId="0" fontId="4" fillId="0" borderId="0"/>
    <xf numFmtId="174" fontId="34" fillId="0" borderId="0"/>
    <xf numFmtId="173" fontId="34" fillId="0" borderId="0"/>
    <xf numFmtId="44" fontId="10" fillId="0" borderId="0" applyFont="0" applyFill="0" applyBorder="0" applyAlignment="0" applyProtection="0"/>
    <xf numFmtId="0" fontId="38" fillId="34" borderId="0"/>
    <xf numFmtId="0" fontId="39" fillId="0" borderId="0"/>
    <xf numFmtId="170" fontId="49" fillId="0" borderId="0" applyFont="0" applyFill="0" applyBorder="0" applyAlignment="0" applyProtection="0"/>
    <xf numFmtId="0" fontId="3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9" fontId="49" fillId="0" borderId="0" applyFont="0" applyFill="0" applyBorder="0" applyAlignment="0" applyProtection="0"/>
    <xf numFmtId="168" fontId="34" fillId="0" borderId="0"/>
    <xf numFmtId="0" fontId="34" fillId="0" borderId="0"/>
    <xf numFmtId="0" fontId="41" fillId="0" borderId="0"/>
    <xf numFmtId="0" fontId="42" fillId="0" borderId="0"/>
    <xf numFmtId="0" fontId="34" fillId="34" borderId="0"/>
    <xf numFmtId="0" fontId="10" fillId="0" borderId="0"/>
    <xf numFmtId="0" fontId="10" fillId="0" borderId="0" applyProtection="0"/>
    <xf numFmtId="9" fontId="34" fillId="0" borderId="0" applyFont="0" applyFill="0" applyBorder="0" applyAlignment="0" applyProtection="0"/>
    <xf numFmtId="0" fontId="34" fillId="0" borderId="0"/>
    <xf numFmtId="174" fontId="34" fillId="0" borderId="0"/>
    <xf numFmtId="173" fontId="34" fillId="0" borderId="0"/>
    <xf numFmtId="44" fontId="10" fillId="0" borderId="0" applyFont="0" applyFill="0" applyBorder="0" applyAlignment="0" applyProtection="0"/>
    <xf numFmtId="0" fontId="34" fillId="0" borderId="0"/>
    <xf numFmtId="43"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169" fontId="49" fillId="0" borderId="0" applyFont="0" applyFill="0" applyBorder="0" applyAlignment="0" applyProtection="0"/>
    <xf numFmtId="0" fontId="10" fillId="0" borderId="0" applyProtection="0"/>
    <xf numFmtId="9" fontId="10" fillId="0" borderId="0" applyFont="0" applyFill="0" applyBorder="0" applyAlignment="0" applyProtection="0"/>
    <xf numFmtId="44" fontId="10" fillId="0" borderId="0" applyFont="0" applyFill="0" applyBorder="0" applyAlignment="0" applyProtection="0"/>
    <xf numFmtId="0" fontId="37" fillId="0" borderId="0"/>
    <xf numFmtId="0" fontId="45" fillId="0" borderId="0"/>
    <xf numFmtId="0" fontId="38" fillId="34" borderId="0"/>
    <xf numFmtId="169" fontId="49" fillId="0" borderId="0" applyFont="0" applyFill="0" applyBorder="0" applyAlignment="0" applyProtection="0"/>
    <xf numFmtId="167" fontId="34" fillId="0" borderId="0"/>
    <xf numFmtId="0" fontId="34" fillId="34" borderId="0"/>
    <xf numFmtId="0" fontId="36" fillId="0" borderId="0"/>
    <xf numFmtId="44" fontId="4" fillId="0" borderId="0" applyFont="0" applyFill="0" applyBorder="0" applyAlignment="0" applyProtection="0"/>
    <xf numFmtId="169" fontId="49" fillId="0" borderId="0" applyFont="0" applyFill="0" applyBorder="0" applyAlignment="0" applyProtection="0"/>
    <xf numFmtId="166" fontId="34" fillId="0" borderId="0"/>
    <xf numFmtId="0" fontId="34" fillId="0" borderId="0"/>
    <xf numFmtId="0" fontId="41" fillId="0" borderId="0"/>
    <xf numFmtId="0" fontId="34" fillId="34" borderId="0"/>
    <xf numFmtId="0" fontId="42" fillId="0" borderId="0"/>
    <xf numFmtId="0" fontId="34" fillId="36" borderId="0"/>
    <xf numFmtId="0" fontId="41" fillId="0" borderId="0"/>
    <xf numFmtId="0" fontId="42" fillId="0" borderId="0"/>
    <xf numFmtId="0" fontId="10" fillId="0" borderId="0" applyProtection="0"/>
    <xf numFmtId="0" fontId="34" fillId="0" borderId="0"/>
    <xf numFmtId="174" fontId="34" fillId="0" borderId="0"/>
    <xf numFmtId="0" fontId="4" fillId="0" borderId="0"/>
    <xf numFmtId="0" fontId="4" fillId="11"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12" borderId="0" applyNumberFormat="0" applyBorder="0" applyAlignment="0" applyProtection="0"/>
    <xf numFmtId="0" fontId="4" fillId="16" borderId="0" applyNumberFormat="0" applyBorder="0" applyAlignment="0" applyProtection="0"/>
    <xf numFmtId="0" fontId="4" fillId="20" borderId="0" applyNumberFormat="0" applyBorder="0" applyAlignment="0" applyProtection="0"/>
    <xf numFmtId="0" fontId="4" fillId="24" borderId="0" applyNumberFormat="0" applyBorder="0" applyAlignment="0" applyProtection="0"/>
    <xf numFmtId="0" fontId="4" fillId="28" borderId="0" applyNumberFormat="0" applyBorder="0" applyAlignment="0" applyProtection="0"/>
    <xf numFmtId="0" fontId="4" fillId="32" borderId="0" applyNumberFormat="0" applyBorder="0" applyAlignment="0" applyProtection="0"/>
    <xf numFmtId="43" fontId="4" fillId="0" borderId="0" applyFont="0" applyFill="0" applyBorder="0" applyAlignment="0" applyProtection="0"/>
    <xf numFmtId="43" fontId="4" fillId="0" borderId="0" applyFont="0" applyFill="0" applyBorder="0" applyAlignment="0" applyProtection="0"/>
    <xf numFmtId="169" fontId="49" fillId="0" borderId="0" applyFont="0" applyFill="0" applyBorder="0" applyAlignment="0" applyProtection="0"/>
    <xf numFmtId="169" fontId="49" fillId="0" borderId="0" applyFont="0" applyFill="0" applyBorder="0" applyAlignment="0" applyProtection="0"/>
    <xf numFmtId="43" fontId="3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4" fillId="0" borderId="0"/>
    <xf numFmtId="0" fontId="34" fillId="0" borderId="0"/>
    <xf numFmtId="0" fontId="10" fillId="0" borderId="0" applyProtection="0"/>
    <xf numFmtId="0" fontId="4" fillId="9" borderId="9" applyNumberFormat="0" applyFont="0" applyAlignment="0" applyProtection="0"/>
    <xf numFmtId="0" fontId="4" fillId="9" borderId="9" applyNumberFormat="0" applyFont="0" applyAlignment="0" applyProtection="0"/>
    <xf numFmtId="9" fontId="10" fillId="0" borderId="0" applyFont="0" applyFill="0" applyBorder="0" applyAlignment="0" applyProtection="0"/>
    <xf numFmtId="9" fontId="4" fillId="0" borderId="0" applyFont="0" applyFill="0" applyBorder="0" applyAlignment="0" applyProtection="0"/>
    <xf numFmtId="0" fontId="34" fillId="36" borderId="0"/>
    <xf numFmtId="0" fontId="36" fillId="0" borderId="0"/>
    <xf numFmtId="44" fontId="4" fillId="0" borderId="0" applyFont="0" applyFill="0" applyBorder="0" applyAlignment="0" applyProtection="0"/>
    <xf numFmtId="0" fontId="34" fillId="0" borderId="0"/>
    <xf numFmtId="174" fontId="34" fillId="0" borderId="0"/>
    <xf numFmtId="0" fontId="3" fillId="0" borderId="0"/>
    <xf numFmtId="0" fontId="2" fillId="0" borderId="0"/>
    <xf numFmtId="0" fontId="1" fillId="0" borderId="0"/>
  </cellStyleXfs>
  <cellXfs count="88">
    <xf numFmtId="0" fontId="0" fillId="0" borderId="0" xfId="0"/>
    <xf numFmtId="0" fontId="60" fillId="35" borderId="0" xfId="0" applyFont="1" applyFill="1"/>
    <xf numFmtId="44" fontId="60" fillId="35" borderId="0" xfId="1" applyFont="1" applyFill="1"/>
    <xf numFmtId="43" fontId="60" fillId="35" borderId="0" xfId="111" applyFont="1" applyFill="1"/>
    <xf numFmtId="43" fontId="60" fillId="35" borderId="1" xfId="111" applyFont="1" applyFill="1" applyBorder="1"/>
    <xf numFmtId="44" fontId="60" fillId="35" borderId="1" xfId="1" applyFont="1" applyFill="1" applyBorder="1"/>
    <xf numFmtId="44" fontId="62" fillId="35" borderId="0" xfId="1" applyFont="1" applyFill="1"/>
    <xf numFmtId="0" fontId="0" fillId="35" borderId="0" xfId="0" applyFill="1"/>
    <xf numFmtId="43" fontId="62" fillId="35" borderId="0" xfId="0" applyNumberFormat="1" applyFont="1" applyFill="1" applyAlignment="1">
      <alignment horizontal="center"/>
    </xf>
    <xf numFmtId="0" fontId="63" fillId="35" borderId="0" xfId="0" applyFont="1" applyFill="1"/>
    <xf numFmtId="0" fontId="62" fillId="35" borderId="0" xfId="0" applyFont="1" applyFill="1" applyAlignment="1">
      <alignment horizontal="center"/>
    </xf>
    <xf numFmtId="0" fontId="64" fillId="35" borderId="0" xfId="108" applyFont="1" applyFill="1" applyAlignment="1">
      <alignment horizontal="left"/>
    </xf>
    <xf numFmtId="0" fontId="62" fillId="35" borderId="0" xfId="0" applyFont="1" applyFill="1"/>
    <xf numFmtId="164" fontId="60" fillId="35" borderId="0" xfId="0" applyNumberFormat="1" applyFont="1" applyFill="1" applyAlignment="1">
      <alignment horizontal="center"/>
    </xf>
    <xf numFmtId="164" fontId="60" fillId="35" borderId="0" xfId="0" applyNumberFormat="1" applyFont="1" applyFill="1"/>
    <xf numFmtId="43" fontId="62" fillId="35" borderId="0" xfId="111" applyFont="1" applyFill="1"/>
    <xf numFmtId="0" fontId="60" fillId="35" borderId="0" xfId="0" applyFont="1" applyFill="1" applyAlignment="1">
      <alignment horizontal="center"/>
    </xf>
    <xf numFmtId="0" fontId="61" fillId="35" borderId="0" xfId="0" applyFont="1" applyFill="1" applyAlignment="1">
      <alignment horizontal="center"/>
    </xf>
    <xf numFmtId="0" fontId="63" fillId="35" borderId="0" xfId="0" applyFont="1" applyFill="1" applyAlignment="1">
      <alignment horizontal="center"/>
    </xf>
    <xf numFmtId="43" fontId="61" fillId="35" borderId="0" xfId="111" applyFont="1" applyFill="1" applyAlignment="1">
      <alignment horizontal="center"/>
    </xf>
    <xf numFmtId="165" fontId="60" fillId="35" borderId="0" xfId="0" applyNumberFormat="1" applyFont="1" applyFill="1"/>
    <xf numFmtId="43" fontId="62" fillId="35" borderId="0" xfId="111" applyFont="1" applyFill="1" applyBorder="1"/>
    <xf numFmtId="0" fontId="65" fillId="35" borderId="0" xfId="0" applyFont="1" applyFill="1"/>
    <xf numFmtId="43" fontId="65" fillId="35" borderId="0" xfId="111" applyFont="1" applyFill="1" applyBorder="1"/>
    <xf numFmtId="0" fontId="66" fillId="35" borderId="0" xfId="0" applyFont="1" applyFill="1"/>
    <xf numFmtId="43" fontId="65" fillId="35" borderId="0" xfId="111" applyFont="1" applyFill="1"/>
    <xf numFmtId="0" fontId="61" fillId="0" borderId="0" xfId="0" applyFont="1" applyAlignment="1">
      <alignment horizontal="center"/>
    </xf>
    <xf numFmtId="0" fontId="60" fillId="0" borderId="0" xfId="0" applyFont="1" applyAlignment="1">
      <alignment horizontal="center"/>
    </xf>
    <xf numFmtId="43" fontId="62" fillId="0" borderId="0" xfId="0" applyNumberFormat="1" applyFont="1" applyAlignment="1">
      <alignment horizontal="center"/>
    </xf>
    <xf numFmtId="44" fontId="60" fillId="0" borderId="0" xfId="1" applyFont="1" applyFill="1"/>
    <xf numFmtId="43" fontId="60" fillId="0" borderId="0" xfId="111" applyFont="1" applyFill="1"/>
    <xf numFmtId="44" fontId="62" fillId="0" borderId="0" xfId="1" applyFont="1" applyFill="1"/>
    <xf numFmtId="43" fontId="62" fillId="0" borderId="0" xfId="111" applyFont="1" applyFill="1" applyBorder="1"/>
    <xf numFmtId="43" fontId="65" fillId="0" borderId="0" xfId="111" applyFont="1" applyFill="1" applyBorder="1"/>
    <xf numFmtId="43" fontId="65" fillId="0" borderId="0" xfId="111" applyFont="1" applyFill="1"/>
    <xf numFmtId="39" fontId="60" fillId="0" borderId="11" xfId="111" applyNumberFormat="1" applyFont="1" applyFill="1" applyBorder="1" applyAlignment="1">
      <alignment horizontal="center"/>
    </xf>
    <xf numFmtId="39" fontId="60" fillId="0" borderId="0" xfId="111" applyNumberFormat="1" applyFont="1" applyFill="1" applyBorder="1" applyAlignment="1">
      <alignment horizontal="center"/>
    </xf>
    <xf numFmtId="39" fontId="60" fillId="0" borderId="12" xfId="111" applyNumberFormat="1" applyFont="1" applyFill="1" applyBorder="1" applyAlignment="1">
      <alignment horizontal="center"/>
    </xf>
    <xf numFmtId="39" fontId="65" fillId="0" borderId="11" xfId="111" applyNumberFormat="1" applyFont="1" applyFill="1" applyBorder="1" applyAlignment="1">
      <alignment horizontal="center"/>
    </xf>
    <xf numFmtId="39" fontId="65" fillId="0" borderId="0" xfId="111" applyNumberFormat="1" applyFont="1" applyFill="1" applyBorder="1" applyAlignment="1">
      <alignment horizontal="center"/>
    </xf>
    <xf numFmtId="39" fontId="65" fillId="0" borderId="12" xfId="111" applyNumberFormat="1" applyFont="1" applyFill="1" applyBorder="1" applyAlignment="1">
      <alignment horizontal="center"/>
    </xf>
    <xf numFmtId="43" fontId="60" fillId="0" borderId="1" xfId="111" applyFont="1" applyFill="1" applyBorder="1"/>
    <xf numFmtId="39" fontId="67" fillId="0" borderId="0" xfId="0" applyNumberFormat="1" applyFont="1"/>
    <xf numFmtId="39" fontId="68" fillId="0" borderId="0" xfId="0" applyNumberFormat="1" applyFont="1"/>
    <xf numFmtId="39" fontId="67" fillId="37" borderId="0" xfId="0" applyNumberFormat="1" applyFont="1" applyFill="1"/>
    <xf numFmtId="43" fontId="60" fillId="35" borderId="0" xfId="0" applyNumberFormat="1" applyFont="1" applyFill="1"/>
    <xf numFmtId="39" fontId="67" fillId="0" borderId="13" xfId="0" applyNumberFormat="1" applyFont="1" applyBorder="1"/>
    <xf numFmtId="39" fontId="68" fillId="0" borderId="13" xfId="0" applyNumberFormat="1" applyFont="1" applyBorder="1"/>
    <xf numFmtId="43" fontId="68" fillId="37" borderId="0" xfId="111" applyFont="1" applyFill="1"/>
    <xf numFmtId="39" fontId="69" fillId="0" borderId="14" xfId="111" applyNumberFormat="1" applyFont="1" applyFill="1" applyBorder="1" applyAlignment="1">
      <alignment horizontal="left" vertical="top"/>
    </xf>
    <xf numFmtId="39" fontId="60" fillId="0" borderId="15" xfId="111" applyNumberFormat="1" applyFont="1" applyFill="1" applyBorder="1" applyAlignment="1">
      <alignment horizontal="center"/>
    </xf>
    <xf numFmtId="39" fontId="60" fillId="0" borderId="16" xfId="111" applyNumberFormat="1" applyFont="1" applyFill="1" applyBorder="1" applyAlignment="1">
      <alignment horizontal="center"/>
    </xf>
    <xf numFmtId="0" fontId="65" fillId="35" borderId="0" xfId="0" applyFont="1" applyFill="1" applyAlignment="1">
      <alignment horizontal="left"/>
    </xf>
    <xf numFmtId="49" fontId="68" fillId="0" borderId="0" xfId="989" applyNumberFormat="1" applyFont="1" applyAlignment="1">
      <alignment horizontal="left"/>
    </xf>
    <xf numFmtId="0" fontId="68" fillId="0" borderId="0" xfId="989" applyFont="1"/>
    <xf numFmtId="49" fontId="67" fillId="0" borderId="0" xfId="989" applyNumberFormat="1" applyFont="1" applyAlignment="1">
      <alignment horizontal="center"/>
    </xf>
    <xf numFmtId="49" fontId="67" fillId="0" borderId="0" xfId="990" applyNumberFormat="1" applyFont="1" applyAlignment="1">
      <alignment horizontal="center"/>
    </xf>
    <xf numFmtId="0" fontId="67" fillId="0" borderId="0" xfId="990" applyFont="1" applyAlignment="1">
      <alignment horizontal="center"/>
    </xf>
    <xf numFmtId="49" fontId="67" fillId="0" borderId="0" xfId="989" applyNumberFormat="1" applyFont="1" applyAlignment="1">
      <alignment horizontal="left"/>
    </xf>
    <xf numFmtId="39" fontId="68" fillId="0" borderId="0" xfId="989" applyNumberFormat="1" applyFont="1" applyAlignment="1">
      <alignment horizontal="right"/>
    </xf>
    <xf numFmtId="39" fontId="65" fillId="0" borderId="11" xfId="111" applyNumberFormat="1" applyFont="1" applyFill="1" applyBorder="1" applyAlignment="1">
      <alignment horizontal="center" vertical="top"/>
    </xf>
    <xf numFmtId="39" fontId="65" fillId="0" borderId="0" xfId="111" applyNumberFormat="1" applyFont="1" applyFill="1" applyBorder="1" applyAlignment="1">
      <alignment horizontal="center" vertical="top"/>
    </xf>
    <xf numFmtId="39" fontId="60" fillId="0" borderId="12" xfId="111" applyNumberFormat="1" applyFont="1" applyFill="1" applyBorder="1" applyAlignment="1">
      <alignment horizontal="center" vertical="top"/>
    </xf>
    <xf numFmtId="0" fontId="0" fillId="35" borderId="0" xfId="0" applyFill="1" applyAlignment="1">
      <alignment vertical="top"/>
    </xf>
    <xf numFmtId="39" fontId="73" fillId="0" borderId="0" xfId="0" applyNumberFormat="1" applyFont="1" applyAlignment="1">
      <alignment vertical="center" wrapText="1"/>
    </xf>
    <xf numFmtId="0" fontId="71" fillId="35" borderId="11" xfId="0" applyFont="1" applyFill="1" applyBorder="1" applyAlignment="1">
      <alignment horizontal="center" vertical="center" wrapText="1"/>
    </xf>
    <xf numFmtId="0" fontId="71" fillId="35" borderId="0" xfId="0" applyFont="1" applyFill="1" applyAlignment="1">
      <alignment horizontal="center" vertical="center" wrapText="1"/>
    </xf>
    <xf numFmtId="0" fontId="75" fillId="35" borderId="0" xfId="0" applyFont="1" applyFill="1"/>
    <xf numFmtId="43" fontId="76" fillId="38" borderId="0" xfId="111" applyFont="1" applyFill="1" applyAlignment="1">
      <alignment horizontal="right"/>
    </xf>
    <xf numFmtId="0" fontId="31" fillId="0" borderId="0" xfId="991" applyFont="1"/>
    <xf numFmtId="49" fontId="1" fillId="0" borderId="0" xfId="991" applyNumberFormat="1" applyAlignment="1">
      <alignment horizontal="left"/>
    </xf>
    <xf numFmtId="15" fontId="1" fillId="0" borderId="0" xfId="991" applyNumberFormat="1" applyAlignment="1">
      <alignment horizontal="left"/>
    </xf>
    <xf numFmtId="43" fontId="0" fillId="35" borderId="0" xfId="0" applyNumberFormat="1" applyFill="1"/>
    <xf numFmtId="0" fontId="77" fillId="0" borderId="0" xfId="0" applyFont="1"/>
    <xf numFmtId="0" fontId="62" fillId="0" borderId="0" xfId="0" applyFont="1"/>
    <xf numFmtId="0" fontId="71" fillId="35" borderId="11" xfId="0" applyFont="1" applyFill="1" applyBorder="1" applyAlignment="1">
      <alignment horizontal="center" vertical="center" wrapText="1"/>
    </xf>
    <xf numFmtId="0" fontId="71" fillId="35" borderId="0" xfId="0" applyFont="1" applyFill="1" applyAlignment="1">
      <alignment horizontal="center" vertical="center" wrapText="1"/>
    </xf>
    <xf numFmtId="0" fontId="60" fillId="35" borderId="0" xfId="0" applyFont="1" applyFill="1" applyAlignment="1">
      <alignment horizontal="left" vertical="top" wrapText="1"/>
    </xf>
    <xf numFmtId="0" fontId="60" fillId="35" borderId="12" xfId="0" applyFont="1" applyFill="1" applyBorder="1" applyAlignment="1">
      <alignment horizontal="left" vertical="top" wrapText="1"/>
    </xf>
    <xf numFmtId="165" fontId="61" fillId="35" borderId="0" xfId="0" applyNumberFormat="1" applyFont="1" applyFill="1" applyAlignment="1">
      <alignment horizontal="center"/>
    </xf>
    <xf numFmtId="0" fontId="61" fillId="35" borderId="0" xfId="0" applyFont="1" applyFill="1" applyAlignment="1">
      <alignment horizontal="center"/>
    </xf>
    <xf numFmtId="0" fontId="60" fillId="35" borderId="0" xfId="0" applyFont="1" applyFill="1" applyAlignment="1">
      <alignment horizontal="center"/>
    </xf>
    <xf numFmtId="39" fontId="62" fillId="35" borderId="11" xfId="111" applyNumberFormat="1" applyFont="1" applyFill="1" applyBorder="1" applyAlignment="1">
      <alignment horizontal="center"/>
    </xf>
    <xf numFmtId="39" fontId="62" fillId="35" borderId="0" xfId="111" applyNumberFormat="1" applyFont="1" applyFill="1" applyBorder="1" applyAlignment="1">
      <alignment horizontal="center"/>
    </xf>
    <xf numFmtId="39" fontId="62" fillId="35" borderId="12" xfId="111" applyNumberFormat="1" applyFont="1" applyFill="1" applyBorder="1" applyAlignment="1">
      <alignment horizontal="center"/>
    </xf>
    <xf numFmtId="0" fontId="74" fillId="35" borderId="0" xfId="0" applyFont="1" applyFill="1" applyAlignment="1">
      <alignment horizontal="center" vertical="top" wrapText="1"/>
    </xf>
    <xf numFmtId="39" fontId="70" fillId="37" borderId="13" xfId="0" applyNumberFormat="1" applyFont="1" applyFill="1" applyBorder="1" applyAlignment="1">
      <alignment horizontal="center"/>
    </xf>
    <xf numFmtId="39" fontId="72" fillId="0" borderId="0" xfId="0" applyNumberFormat="1" applyFont="1" applyAlignment="1">
      <alignment horizontal="left" vertical="center" wrapText="1"/>
    </xf>
  </cellXfs>
  <cellStyles count="992">
    <cellStyle name="20% - Accent1" xfId="40" builtinId="30" customBuiltin="1"/>
    <cellStyle name="20% - Accent1 2" xfId="89" xr:uid="{00000000-0005-0000-0000-000001000000}"/>
    <cellStyle name="20% - Accent1 2 2" xfId="950" xr:uid="{00000000-0005-0000-0000-000002000000}"/>
    <cellStyle name="20% - Accent1 3" xfId="323" xr:uid="{00000000-0005-0000-0000-000003000000}"/>
    <cellStyle name="20% - Accent2" xfId="44" builtinId="34" customBuiltin="1"/>
    <cellStyle name="20% - Accent2 2" xfId="91" xr:uid="{00000000-0005-0000-0000-000005000000}"/>
    <cellStyle name="20% - Accent2 2 2" xfId="951" xr:uid="{00000000-0005-0000-0000-000006000000}"/>
    <cellStyle name="20% - Accent2 3" xfId="325" xr:uid="{00000000-0005-0000-0000-000007000000}"/>
    <cellStyle name="20% - Accent3" xfId="48" builtinId="38" customBuiltin="1"/>
    <cellStyle name="20% - Accent3 2" xfId="93" xr:uid="{00000000-0005-0000-0000-000009000000}"/>
    <cellStyle name="20% - Accent3 2 2" xfId="952" xr:uid="{00000000-0005-0000-0000-00000A000000}"/>
    <cellStyle name="20% - Accent3 3" xfId="327" xr:uid="{00000000-0005-0000-0000-00000B000000}"/>
    <cellStyle name="20% - Accent4" xfId="52" builtinId="42" customBuiltin="1"/>
    <cellStyle name="20% - Accent4 2" xfId="95" xr:uid="{00000000-0005-0000-0000-00000D000000}"/>
    <cellStyle name="20% - Accent4 2 2" xfId="953" xr:uid="{00000000-0005-0000-0000-00000E000000}"/>
    <cellStyle name="20% - Accent4 3" xfId="329" xr:uid="{00000000-0005-0000-0000-00000F000000}"/>
    <cellStyle name="20% - Accent5" xfId="56" builtinId="46" customBuiltin="1"/>
    <cellStyle name="20% - Accent5 2" xfId="97" xr:uid="{00000000-0005-0000-0000-000011000000}"/>
    <cellStyle name="20% - Accent5 2 2" xfId="954" xr:uid="{00000000-0005-0000-0000-000012000000}"/>
    <cellStyle name="20% - Accent5 3" xfId="331" xr:uid="{00000000-0005-0000-0000-000013000000}"/>
    <cellStyle name="20% - Accent6" xfId="60" builtinId="50" customBuiltin="1"/>
    <cellStyle name="20% - Accent6 2" xfId="99" xr:uid="{00000000-0005-0000-0000-000015000000}"/>
    <cellStyle name="20% - Accent6 2 2" xfId="955" xr:uid="{00000000-0005-0000-0000-000016000000}"/>
    <cellStyle name="20% - Accent6 3" xfId="333" xr:uid="{00000000-0005-0000-0000-000017000000}"/>
    <cellStyle name="40% - Accent1" xfId="41" builtinId="31" customBuiltin="1"/>
    <cellStyle name="40% - Accent1 2" xfId="90" xr:uid="{00000000-0005-0000-0000-000019000000}"/>
    <cellStyle name="40% - Accent1 2 2" xfId="956" xr:uid="{00000000-0005-0000-0000-00001A000000}"/>
    <cellStyle name="40% - Accent1 3" xfId="324" xr:uid="{00000000-0005-0000-0000-00001B000000}"/>
    <cellStyle name="40% - Accent2" xfId="45" builtinId="35" customBuiltin="1"/>
    <cellStyle name="40% - Accent2 2" xfId="92" xr:uid="{00000000-0005-0000-0000-00001D000000}"/>
    <cellStyle name="40% - Accent2 2 2" xfId="957" xr:uid="{00000000-0005-0000-0000-00001E000000}"/>
    <cellStyle name="40% - Accent2 3" xfId="326" xr:uid="{00000000-0005-0000-0000-00001F000000}"/>
    <cellStyle name="40% - Accent3" xfId="49" builtinId="39" customBuiltin="1"/>
    <cellStyle name="40% - Accent3 2" xfId="94" xr:uid="{00000000-0005-0000-0000-000021000000}"/>
    <cellStyle name="40% - Accent3 2 2" xfId="958" xr:uid="{00000000-0005-0000-0000-000022000000}"/>
    <cellStyle name="40% - Accent3 3" xfId="328" xr:uid="{00000000-0005-0000-0000-000023000000}"/>
    <cellStyle name="40% - Accent4" xfId="53" builtinId="43" customBuiltin="1"/>
    <cellStyle name="40% - Accent4 2" xfId="96" xr:uid="{00000000-0005-0000-0000-000025000000}"/>
    <cellStyle name="40% - Accent4 2 2" xfId="959" xr:uid="{00000000-0005-0000-0000-000026000000}"/>
    <cellStyle name="40% - Accent4 3" xfId="330" xr:uid="{00000000-0005-0000-0000-000027000000}"/>
    <cellStyle name="40% - Accent5" xfId="57" builtinId="47" customBuiltin="1"/>
    <cellStyle name="40% - Accent5 2" xfId="98" xr:uid="{00000000-0005-0000-0000-000029000000}"/>
    <cellStyle name="40% - Accent5 2 2" xfId="960" xr:uid="{00000000-0005-0000-0000-00002A000000}"/>
    <cellStyle name="40% - Accent5 3" xfId="332" xr:uid="{00000000-0005-0000-0000-00002B000000}"/>
    <cellStyle name="40% - Accent6" xfId="61" builtinId="51" customBuiltin="1"/>
    <cellStyle name="40% - Accent6 2" xfId="100" xr:uid="{00000000-0005-0000-0000-00002D000000}"/>
    <cellStyle name="40% - Accent6 2 2" xfId="961" xr:uid="{00000000-0005-0000-0000-00002E000000}"/>
    <cellStyle name="40% - Accent6 3" xfId="334" xr:uid="{00000000-0005-0000-0000-00002F000000}"/>
    <cellStyle name="60% - Accent1" xfId="42" builtinId="32" customBuiltin="1"/>
    <cellStyle name="60% - Accent2" xfId="46" builtinId="36" customBuiltin="1"/>
    <cellStyle name="60% - Accent3" xfId="50" builtinId="40" customBuiltin="1"/>
    <cellStyle name="60% - Accent4" xfId="54" builtinId="44" customBuiltin="1"/>
    <cellStyle name="60% - Accent5" xfId="58" builtinId="48" customBuiltin="1"/>
    <cellStyle name="60% - Accent6" xfId="62" builtinId="52" customBuiltin="1"/>
    <cellStyle name="Accent1" xfId="39" builtinId="29" customBuiltin="1"/>
    <cellStyle name="Accent2" xfId="43" builtinId="33" customBuiltin="1"/>
    <cellStyle name="Accent3" xfId="47" builtinId="37" customBuiltin="1"/>
    <cellStyle name="Accent4" xfId="51" builtinId="41" customBuiltin="1"/>
    <cellStyle name="Accent5" xfId="55" builtinId="45" customBuiltin="1"/>
    <cellStyle name="Accent6" xfId="59" builtinId="49" customBuiltin="1"/>
    <cellStyle name="Bad" xfId="29" builtinId="27" customBuiltin="1"/>
    <cellStyle name="Calculation" xfId="33" builtinId="22" customBuiltin="1"/>
    <cellStyle name="Check Cell" xfId="35" builtinId="23" customBuiltin="1"/>
    <cellStyle name="Comma" xfId="111" builtinId="3"/>
    <cellStyle name="Comma 10" xfId="795" xr:uid="{00000000-0005-0000-0000-000040000000}"/>
    <cellStyle name="Comma 10 2" xfId="822" xr:uid="{00000000-0005-0000-0000-000041000000}"/>
    <cellStyle name="Comma 11" xfId="802" xr:uid="{00000000-0005-0000-0000-000042000000}"/>
    <cellStyle name="Comma 12" xfId="805" xr:uid="{00000000-0005-0000-0000-000043000000}"/>
    <cellStyle name="Comma 13" xfId="880" xr:uid="{00000000-0005-0000-0000-000044000000}"/>
    <cellStyle name="Comma 13 2" xfId="937" xr:uid="{00000000-0005-0000-0000-000045000000}"/>
    <cellStyle name="Comma 14" xfId="962" xr:uid="{00000000-0005-0000-0000-000046000000}"/>
    <cellStyle name="Comma 15" xfId="305" xr:uid="{00000000-0005-0000-0000-000047000000}"/>
    <cellStyle name="Comma 2" xfId="3" xr:uid="{00000000-0005-0000-0000-000048000000}"/>
    <cellStyle name="Comma 2 2" xfId="651" xr:uid="{00000000-0005-0000-0000-000049000000}"/>
    <cellStyle name="Comma 2 2 2" xfId="776" xr:uid="{00000000-0005-0000-0000-00004A000000}"/>
    <cellStyle name="Comma 2 2 3" xfId="932" xr:uid="{00000000-0005-0000-0000-00004B000000}"/>
    <cellStyle name="Comma 2 3" xfId="778" xr:uid="{00000000-0005-0000-0000-00004C000000}"/>
    <cellStyle name="Comma 2 4" xfId="767" xr:uid="{00000000-0005-0000-0000-00004D000000}"/>
    <cellStyle name="Comma 3" xfId="12" xr:uid="{00000000-0005-0000-0000-00004E000000}"/>
    <cellStyle name="Comma 3 10" xfId="773" xr:uid="{00000000-0005-0000-0000-00004F000000}"/>
    <cellStyle name="Comma 3 11" xfId="963" xr:uid="{00000000-0005-0000-0000-000050000000}"/>
    <cellStyle name="Comma 3 12" xfId="337" xr:uid="{00000000-0005-0000-0000-000051000000}"/>
    <cellStyle name="Comma 3 2" xfId="72" xr:uid="{00000000-0005-0000-0000-000052000000}"/>
    <cellStyle name="Comma 3 2 2" xfId="158" xr:uid="{00000000-0005-0000-0000-000053000000}"/>
    <cellStyle name="Comma 3 2 2 2" xfId="298" xr:uid="{00000000-0005-0000-0000-000054000000}"/>
    <cellStyle name="Comma 3 2 2 2 2" xfId="727" xr:uid="{00000000-0005-0000-0000-000055000000}"/>
    <cellStyle name="Comma 3 2 2 2 3" xfId="624" xr:uid="{00000000-0005-0000-0000-000056000000}"/>
    <cellStyle name="Comma 3 2 2 2 4" xfId="440" xr:uid="{00000000-0005-0000-0000-000057000000}"/>
    <cellStyle name="Comma 3 2 2 3" xfId="233" xr:uid="{00000000-0005-0000-0000-000058000000}"/>
    <cellStyle name="Comma 3 2 2 3 2" xfId="689" xr:uid="{00000000-0005-0000-0000-000059000000}"/>
    <cellStyle name="Comma 3 2 2 3 3" xfId="513" xr:uid="{00000000-0005-0000-0000-00005A000000}"/>
    <cellStyle name="Comma 3 2 2 4" xfId="571" xr:uid="{00000000-0005-0000-0000-00005B000000}"/>
    <cellStyle name="Comma 3 2 2 5" xfId="399" xr:uid="{00000000-0005-0000-0000-00005C000000}"/>
    <cellStyle name="Comma 3 2 3" xfId="173" xr:uid="{00000000-0005-0000-0000-00005D000000}"/>
    <cellStyle name="Comma 3 2 3 2" xfId="248" xr:uid="{00000000-0005-0000-0000-00005E000000}"/>
    <cellStyle name="Comma 3 2 3 2 2" xfId="639" xr:uid="{00000000-0005-0000-0000-00005F000000}"/>
    <cellStyle name="Comma 3 2 3 3" xfId="742" xr:uid="{00000000-0005-0000-0000-000060000000}"/>
    <cellStyle name="Comma 3 2 3 4" xfId="586" xr:uid="{00000000-0005-0000-0000-000061000000}"/>
    <cellStyle name="Comma 3 2 3 5" xfId="455" xr:uid="{00000000-0005-0000-0000-000062000000}"/>
    <cellStyle name="Comma 3 2 4" xfId="142" xr:uid="{00000000-0005-0000-0000-000063000000}"/>
    <cellStyle name="Comma 3 2 4 2" xfId="278" xr:uid="{00000000-0005-0000-0000-000064000000}"/>
    <cellStyle name="Comma 3 2 4 2 2" xfId="711" xr:uid="{00000000-0005-0000-0000-000065000000}"/>
    <cellStyle name="Comma 3 2 4 3" xfId="555" xr:uid="{00000000-0005-0000-0000-000066000000}"/>
    <cellStyle name="Comma 3 2 4 4" xfId="424" xr:uid="{00000000-0005-0000-0000-000067000000}"/>
    <cellStyle name="Comma 3 2 5" xfId="217" xr:uid="{00000000-0005-0000-0000-000068000000}"/>
    <cellStyle name="Comma 3 2 5 2" xfId="608" xr:uid="{00000000-0005-0000-0000-000069000000}"/>
    <cellStyle name="Comma 3 2 5 3" xfId="496" xr:uid="{00000000-0005-0000-0000-00006A000000}"/>
    <cellStyle name="Comma 3 2 6" xfId="673" xr:uid="{00000000-0005-0000-0000-00006B000000}"/>
    <cellStyle name="Comma 3 2 7" xfId="532" xr:uid="{00000000-0005-0000-0000-00006C000000}"/>
    <cellStyle name="Comma 3 2 8" xfId="384" xr:uid="{00000000-0005-0000-0000-00006D000000}"/>
    <cellStyle name="Comma 3 3" xfId="103" xr:uid="{00000000-0005-0000-0000-00006E000000}"/>
    <cellStyle name="Comma 3 3 2" xfId="150" xr:uid="{00000000-0005-0000-0000-00006F000000}"/>
    <cellStyle name="Comma 3 3 2 2" xfId="285" xr:uid="{00000000-0005-0000-0000-000070000000}"/>
    <cellStyle name="Comma 3 3 2 2 2" xfId="719" xr:uid="{00000000-0005-0000-0000-000071000000}"/>
    <cellStyle name="Comma 3 3 2 3" xfId="616" xr:uid="{00000000-0005-0000-0000-000072000000}"/>
    <cellStyle name="Comma 3 3 2 4" xfId="432" xr:uid="{00000000-0005-0000-0000-000073000000}"/>
    <cellStyle name="Comma 3 3 3" xfId="225" xr:uid="{00000000-0005-0000-0000-000074000000}"/>
    <cellStyle name="Comma 3 3 3 2" xfId="681" xr:uid="{00000000-0005-0000-0000-000075000000}"/>
    <cellStyle name="Comma 3 3 3 3" xfId="505" xr:uid="{00000000-0005-0000-0000-000076000000}"/>
    <cellStyle name="Comma 3 3 4" xfId="563" xr:uid="{00000000-0005-0000-0000-000077000000}"/>
    <cellStyle name="Comma 3 3 5" xfId="823" xr:uid="{00000000-0005-0000-0000-000078000000}"/>
    <cellStyle name="Comma 3 3 6" xfId="391" xr:uid="{00000000-0005-0000-0000-000079000000}"/>
    <cellStyle name="Comma 3 4" xfId="133" xr:uid="{00000000-0005-0000-0000-00007A000000}"/>
    <cellStyle name="Comma 3 4 2" xfId="209" xr:uid="{00000000-0005-0000-0000-00007B000000}"/>
    <cellStyle name="Comma 3 4 2 2" xfId="703" xr:uid="{00000000-0005-0000-0000-00007C000000}"/>
    <cellStyle name="Comma 3 4 2 3" xfId="600" xr:uid="{00000000-0005-0000-0000-00007D000000}"/>
    <cellStyle name="Comma 3 4 2 4" xfId="416" xr:uid="{00000000-0005-0000-0000-00007E000000}"/>
    <cellStyle name="Comma 3 4 3" xfId="488" xr:uid="{00000000-0005-0000-0000-00007F000000}"/>
    <cellStyle name="Comma 3 4 3 2" xfId="665" xr:uid="{00000000-0005-0000-0000-000080000000}"/>
    <cellStyle name="Comma 3 4 4" xfId="547" xr:uid="{00000000-0005-0000-0000-000081000000}"/>
    <cellStyle name="Comma 3 4 5" xfId="873" xr:uid="{00000000-0005-0000-0000-000082000000}"/>
    <cellStyle name="Comma 3 4 6" xfId="377" xr:uid="{00000000-0005-0000-0000-000083000000}"/>
    <cellStyle name="Comma 3 5" xfId="165" xr:uid="{00000000-0005-0000-0000-000084000000}"/>
    <cellStyle name="Comma 3 5 2" xfId="240" xr:uid="{00000000-0005-0000-0000-000085000000}"/>
    <cellStyle name="Comma 3 5 2 2" xfId="631" xr:uid="{00000000-0005-0000-0000-000086000000}"/>
    <cellStyle name="Comma 3 5 3" xfId="734" xr:uid="{00000000-0005-0000-0000-000087000000}"/>
    <cellStyle name="Comma 3 5 4" xfId="578" xr:uid="{00000000-0005-0000-0000-000088000000}"/>
    <cellStyle name="Comma 3 5 5" xfId="447" xr:uid="{00000000-0005-0000-0000-000089000000}"/>
    <cellStyle name="Comma 3 6" xfId="126" xr:uid="{00000000-0005-0000-0000-00008A000000}"/>
    <cellStyle name="Comma 3 6 2" xfId="270" xr:uid="{00000000-0005-0000-0000-00008B000000}"/>
    <cellStyle name="Comma 3 6 2 2" xfId="696" xr:uid="{00000000-0005-0000-0000-00008C000000}"/>
    <cellStyle name="Comma 3 6 3" xfId="540" xr:uid="{00000000-0005-0000-0000-00008D000000}"/>
    <cellStyle name="Comma 3 6 4" xfId="406" xr:uid="{00000000-0005-0000-0000-00008E000000}"/>
    <cellStyle name="Comma 3 7" xfId="202" xr:uid="{00000000-0005-0000-0000-00008F000000}"/>
    <cellStyle name="Comma 3 7 2" xfId="593" xr:uid="{00000000-0005-0000-0000-000090000000}"/>
    <cellStyle name="Comma 3 7 3" xfId="482" xr:uid="{00000000-0005-0000-0000-000091000000}"/>
    <cellStyle name="Comma 3 8" xfId="658" xr:uid="{00000000-0005-0000-0000-000092000000}"/>
    <cellStyle name="Comma 3 9" xfId="523" xr:uid="{00000000-0005-0000-0000-000093000000}"/>
    <cellStyle name="Comma 4" xfId="64" xr:uid="{00000000-0005-0000-0000-000094000000}"/>
    <cellStyle name="Comma 4 2" xfId="291" xr:uid="{00000000-0005-0000-0000-000095000000}"/>
    <cellStyle name="Comma 4 2 2" xfId="519" xr:uid="{00000000-0005-0000-0000-000096000000}"/>
    <cellStyle name="Comma 4 2 2 2" xfId="894" xr:uid="{00000000-0005-0000-0000-000097000000}"/>
    <cellStyle name="Comma 4 2 2 3" xfId="925" xr:uid="{00000000-0005-0000-0000-000098000000}"/>
    <cellStyle name="Comma 4 2 3" xfId="824" xr:uid="{00000000-0005-0000-0000-000099000000}"/>
    <cellStyle name="Comma 4 2 4" xfId="357" xr:uid="{00000000-0005-0000-0000-00009A000000}"/>
    <cellStyle name="Comma 4 3" xfId="267" xr:uid="{00000000-0005-0000-0000-00009B000000}"/>
    <cellStyle name="Comma 4 3 2" xfId="865" xr:uid="{00000000-0005-0000-0000-00009C000000}"/>
    <cellStyle name="Comma 4 3 3" xfId="921" xr:uid="{00000000-0005-0000-0000-00009D000000}"/>
    <cellStyle name="Comma 4 3 4" xfId="469" xr:uid="{00000000-0005-0000-0000-00009E000000}"/>
    <cellStyle name="Comma 4 4" xfId="859" xr:uid="{00000000-0005-0000-0000-00009F000000}"/>
    <cellStyle name="Comma 4 5" xfId="764" xr:uid="{00000000-0005-0000-0000-0000A0000000}"/>
    <cellStyle name="Comma 5" xfId="83" xr:uid="{00000000-0005-0000-0000-0000A1000000}"/>
    <cellStyle name="Comma 5 2" xfId="462" xr:uid="{00000000-0005-0000-0000-0000A2000000}"/>
    <cellStyle name="Comma 5 2 2" xfId="905" xr:uid="{00000000-0005-0000-0000-0000A3000000}"/>
    <cellStyle name="Comma 5 2 3" xfId="825" xr:uid="{00000000-0005-0000-0000-0000A4000000}"/>
    <cellStyle name="Comma 5 3" xfId="890" xr:uid="{00000000-0005-0000-0000-0000A5000000}"/>
    <cellStyle name="Comma 5 4" xfId="792" xr:uid="{00000000-0005-0000-0000-0000A6000000}"/>
    <cellStyle name="Comma 5 5" xfId="964" xr:uid="{00000000-0005-0000-0000-0000A7000000}"/>
    <cellStyle name="Comma 5 6" xfId="336" xr:uid="{00000000-0005-0000-0000-0000A8000000}"/>
    <cellStyle name="Comma 6" xfId="180" xr:uid="{00000000-0005-0000-0000-0000A9000000}"/>
    <cellStyle name="Comma 6 2" xfId="466" xr:uid="{00000000-0005-0000-0000-0000AA000000}"/>
    <cellStyle name="Comma 6 2 2" xfId="906" xr:uid="{00000000-0005-0000-0000-0000AB000000}"/>
    <cellStyle name="Comma 6 2 3" xfId="826" xr:uid="{00000000-0005-0000-0000-0000AC000000}"/>
    <cellStyle name="Comma 6 3" xfId="750" xr:uid="{00000000-0005-0000-0000-0000AD000000}"/>
    <cellStyle name="Comma 6 4" xfId="907" xr:uid="{00000000-0005-0000-0000-0000AE000000}"/>
    <cellStyle name="Comma 6 5" xfId="791" xr:uid="{00000000-0005-0000-0000-0000AF000000}"/>
    <cellStyle name="Comma 6 6" xfId="965" xr:uid="{00000000-0005-0000-0000-0000B0000000}"/>
    <cellStyle name="Comma 7" xfId="268" xr:uid="{00000000-0005-0000-0000-0000B1000000}"/>
    <cellStyle name="Comma 7 2" xfId="827" xr:uid="{00000000-0005-0000-0000-0000B2000000}"/>
    <cellStyle name="Comma 7 3" xfId="966" xr:uid="{00000000-0005-0000-0000-0000B3000000}"/>
    <cellStyle name="Comma 7 4" xfId="800" xr:uid="{00000000-0005-0000-0000-0000B4000000}"/>
    <cellStyle name="Comma 8" xfId="797" xr:uid="{00000000-0005-0000-0000-0000B5000000}"/>
    <cellStyle name="Comma 8 2" xfId="828" xr:uid="{00000000-0005-0000-0000-0000B6000000}"/>
    <cellStyle name="Comma 9" xfId="794" xr:uid="{00000000-0005-0000-0000-0000B7000000}"/>
    <cellStyle name="Comma 9 2" xfId="829" xr:uid="{00000000-0005-0000-0000-0000B8000000}"/>
    <cellStyle name="Currency" xfId="1" builtinId="4"/>
    <cellStyle name="Currency 10" xfId="799" xr:uid="{00000000-0005-0000-0000-0000BA000000}"/>
    <cellStyle name="Currency 10 2" xfId="830" xr:uid="{00000000-0005-0000-0000-0000BB000000}"/>
    <cellStyle name="Currency 11" xfId="798" xr:uid="{00000000-0005-0000-0000-0000BC000000}"/>
    <cellStyle name="Currency 11 2" xfId="831" xr:uid="{00000000-0005-0000-0000-0000BD000000}"/>
    <cellStyle name="Currency 12" xfId="803" xr:uid="{00000000-0005-0000-0000-0000BE000000}"/>
    <cellStyle name="Currency 12 2" xfId="832" xr:uid="{00000000-0005-0000-0000-0000BF000000}"/>
    <cellStyle name="Currency 13" xfId="813" xr:uid="{00000000-0005-0000-0000-0000C0000000}"/>
    <cellStyle name="Currency 14" xfId="986" xr:uid="{00000000-0005-0000-0000-0000C1000000}"/>
    <cellStyle name="Currency 2" xfId="16" xr:uid="{00000000-0005-0000-0000-0000C2000000}"/>
    <cellStyle name="Currency 2 10" xfId="967" xr:uid="{00000000-0005-0000-0000-0000C3000000}"/>
    <cellStyle name="Currency 2 11" xfId="338" xr:uid="{00000000-0005-0000-0000-0000C4000000}"/>
    <cellStyle name="Currency 2 2" xfId="67" xr:uid="{00000000-0005-0000-0000-0000C5000000}"/>
    <cellStyle name="Currency 2 2 2" xfId="161" xr:uid="{00000000-0005-0000-0000-0000C6000000}"/>
    <cellStyle name="Currency 2 2 2 2" xfId="301" xr:uid="{00000000-0005-0000-0000-0000C7000000}"/>
    <cellStyle name="Currency 2 2 2 2 2" xfId="730" xr:uid="{00000000-0005-0000-0000-0000C8000000}"/>
    <cellStyle name="Currency 2 2 2 2 3" xfId="627" xr:uid="{00000000-0005-0000-0000-0000C9000000}"/>
    <cellStyle name="Currency 2 2 2 2 4" xfId="443" xr:uid="{00000000-0005-0000-0000-0000CA000000}"/>
    <cellStyle name="Currency 2 2 2 3" xfId="236" xr:uid="{00000000-0005-0000-0000-0000CB000000}"/>
    <cellStyle name="Currency 2 2 2 3 2" xfId="692" xr:uid="{00000000-0005-0000-0000-0000CC000000}"/>
    <cellStyle name="Currency 2 2 2 3 3" xfId="516" xr:uid="{00000000-0005-0000-0000-0000CD000000}"/>
    <cellStyle name="Currency 2 2 2 4" xfId="574" xr:uid="{00000000-0005-0000-0000-0000CE000000}"/>
    <cellStyle name="Currency 2 2 2 5" xfId="402" xr:uid="{00000000-0005-0000-0000-0000CF000000}"/>
    <cellStyle name="Currency 2 2 3" xfId="176" xr:uid="{00000000-0005-0000-0000-0000D0000000}"/>
    <cellStyle name="Currency 2 2 3 2" xfId="251" xr:uid="{00000000-0005-0000-0000-0000D1000000}"/>
    <cellStyle name="Currency 2 2 3 2 2" xfId="745" xr:uid="{00000000-0005-0000-0000-0000D2000000}"/>
    <cellStyle name="Currency 2 2 3 2 3" xfId="642" xr:uid="{00000000-0005-0000-0000-0000D3000000}"/>
    <cellStyle name="Currency 2 2 3 2 4" xfId="458" xr:uid="{00000000-0005-0000-0000-0000D4000000}"/>
    <cellStyle name="Currency 2 2 3 3" xfId="499" xr:uid="{00000000-0005-0000-0000-0000D5000000}"/>
    <cellStyle name="Currency 2 2 3 3 2" xfId="676" xr:uid="{00000000-0005-0000-0000-0000D6000000}"/>
    <cellStyle name="Currency 2 2 3 4" xfId="589" xr:uid="{00000000-0005-0000-0000-0000D7000000}"/>
    <cellStyle name="Currency 2 2 3 5" xfId="386" xr:uid="{00000000-0005-0000-0000-0000D8000000}"/>
    <cellStyle name="Currency 2 2 4" xfId="145" xr:uid="{00000000-0005-0000-0000-0000D9000000}"/>
    <cellStyle name="Currency 2 2 4 2" xfId="281" xr:uid="{00000000-0005-0000-0000-0000DA000000}"/>
    <cellStyle name="Currency 2 2 4 2 2" xfId="714" xr:uid="{00000000-0005-0000-0000-0000DB000000}"/>
    <cellStyle name="Currency 2 2 4 3" xfId="558" xr:uid="{00000000-0005-0000-0000-0000DC000000}"/>
    <cellStyle name="Currency 2 2 4 4" xfId="427" xr:uid="{00000000-0005-0000-0000-0000DD000000}"/>
    <cellStyle name="Currency 2 2 5" xfId="220" xr:uid="{00000000-0005-0000-0000-0000DE000000}"/>
    <cellStyle name="Currency 2 2 5 2" xfId="611" xr:uid="{00000000-0005-0000-0000-0000DF000000}"/>
    <cellStyle name="Currency 2 2 5 3" xfId="374" xr:uid="{00000000-0005-0000-0000-0000E0000000}"/>
    <cellStyle name="Currency 2 2 6" xfId="661" xr:uid="{00000000-0005-0000-0000-0000E1000000}"/>
    <cellStyle name="Currency 2 2 6 2" xfId="895" xr:uid="{00000000-0005-0000-0000-0000E2000000}"/>
    <cellStyle name="Currency 2 2 6 3" xfId="936" xr:uid="{00000000-0005-0000-0000-0000E3000000}"/>
    <cellStyle name="Currency 2 2 7" xfId="535" xr:uid="{00000000-0005-0000-0000-0000E4000000}"/>
    <cellStyle name="Currency 2 2 8" xfId="358" xr:uid="{00000000-0005-0000-0000-0000E5000000}"/>
    <cellStyle name="Currency 2 3" xfId="86" xr:uid="{00000000-0005-0000-0000-0000E6000000}"/>
    <cellStyle name="Currency 2 3 2" xfId="153" xr:uid="{00000000-0005-0000-0000-0000E7000000}"/>
    <cellStyle name="Currency 2 3 2 2" xfId="288" xr:uid="{00000000-0005-0000-0000-0000E8000000}"/>
    <cellStyle name="Currency 2 3 2 2 2" xfId="722" xr:uid="{00000000-0005-0000-0000-0000E9000000}"/>
    <cellStyle name="Currency 2 3 2 3" xfId="619" xr:uid="{00000000-0005-0000-0000-0000EA000000}"/>
    <cellStyle name="Currency 2 3 2 4" xfId="833" xr:uid="{00000000-0005-0000-0000-0000EB000000}"/>
    <cellStyle name="Currency 2 3 2 5" xfId="435" xr:uid="{00000000-0005-0000-0000-0000EC000000}"/>
    <cellStyle name="Currency 2 3 3" xfId="228" xr:uid="{00000000-0005-0000-0000-0000ED000000}"/>
    <cellStyle name="Currency 2 3 3 2" xfId="684" xr:uid="{00000000-0005-0000-0000-0000EE000000}"/>
    <cellStyle name="Currency 2 3 3 3" xfId="508" xr:uid="{00000000-0005-0000-0000-0000EF000000}"/>
    <cellStyle name="Currency 2 3 4" xfId="566" xr:uid="{00000000-0005-0000-0000-0000F0000000}"/>
    <cellStyle name="Currency 2 3 5" xfId="774" xr:uid="{00000000-0005-0000-0000-0000F1000000}"/>
    <cellStyle name="Currency 2 3 6" xfId="394" xr:uid="{00000000-0005-0000-0000-0000F2000000}"/>
    <cellStyle name="Currency 2 4" xfId="136" xr:uid="{00000000-0005-0000-0000-0000F3000000}"/>
    <cellStyle name="Currency 2 4 2" xfId="212" xr:uid="{00000000-0005-0000-0000-0000F4000000}"/>
    <cellStyle name="Currency 2 4 2 2" xfId="706" xr:uid="{00000000-0005-0000-0000-0000F5000000}"/>
    <cellStyle name="Currency 2 4 2 3" xfId="603" xr:uid="{00000000-0005-0000-0000-0000F6000000}"/>
    <cellStyle name="Currency 2 4 2 4" xfId="419" xr:uid="{00000000-0005-0000-0000-0000F7000000}"/>
    <cellStyle name="Currency 2 4 3" xfId="491" xr:uid="{00000000-0005-0000-0000-0000F8000000}"/>
    <cellStyle name="Currency 2 4 3 2" xfId="668" xr:uid="{00000000-0005-0000-0000-0000F9000000}"/>
    <cellStyle name="Currency 2 4 4" xfId="550" xr:uid="{00000000-0005-0000-0000-0000FA000000}"/>
    <cellStyle name="Currency 2 4 5" xfId="380" xr:uid="{00000000-0005-0000-0000-0000FB000000}"/>
    <cellStyle name="Currency 2 5" xfId="168" xr:uid="{00000000-0005-0000-0000-0000FC000000}"/>
    <cellStyle name="Currency 2 5 2" xfId="243" xr:uid="{00000000-0005-0000-0000-0000FD000000}"/>
    <cellStyle name="Currency 2 5 2 2" xfId="634" xr:uid="{00000000-0005-0000-0000-0000FE000000}"/>
    <cellStyle name="Currency 2 5 3" xfId="737" xr:uid="{00000000-0005-0000-0000-0000FF000000}"/>
    <cellStyle name="Currency 2 5 4" xfId="581" xr:uid="{00000000-0005-0000-0000-000000010000}"/>
    <cellStyle name="Currency 2 5 5" xfId="450" xr:uid="{00000000-0005-0000-0000-000001010000}"/>
    <cellStyle name="Currency 2 6" xfId="129" xr:uid="{00000000-0005-0000-0000-000002010000}"/>
    <cellStyle name="Currency 2 6 2" xfId="273" xr:uid="{00000000-0005-0000-0000-000003010000}"/>
    <cellStyle name="Currency 2 6 2 2" xfId="699" xr:uid="{00000000-0005-0000-0000-000004010000}"/>
    <cellStyle name="Currency 2 6 3" xfId="543" xr:uid="{00000000-0005-0000-0000-000005010000}"/>
    <cellStyle name="Currency 2 6 4" xfId="412" xr:uid="{00000000-0005-0000-0000-000006010000}"/>
    <cellStyle name="Currency 2 7" xfId="205" xr:uid="{00000000-0005-0000-0000-000007010000}"/>
    <cellStyle name="Currency 2 7 2" xfId="596" xr:uid="{00000000-0005-0000-0000-000008010000}"/>
    <cellStyle name="Currency 2 7 3" xfId="479" xr:uid="{00000000-0005-0000-0000-000009010000}"/>
    <cellStyle name="Currency 2 8" xfId="655" xr:uid="{00000000-0005-0000-0000-00000A010000}"/>
    <cellStyle name="Currency 2 9" xfId="526" xr:uid="{00000000-0005-0000-0000-00000B010000}"/>
    <cellStyle name="Currency 3" xfId="10" xr:uid="{00000000-0005-0000-0000-00000C010000}"/>
    <cellStyle name="Currency 3 10" xfId="968" xr:uid="{00000000-0005-0000-0000-00000D010000}"/>
    <cellStyle name="Currency 3 11" xfId="339" xr:uid="{00000000-0005-0000-0000-00000E010000}"/>
    <cellStyle name="Currency 3 2" xfId="74" xr:uid="{00000000-0005-0000-0000-00000F010000}"/>
    <cellStyle name="Currency 3 2 2" xfId="160" xr:uid="{00000000-0005-0000-0000-000010010000}"/>
    <cellStyle name="Currency 3 2 2 2" xfId="300" xr:uid="{00000000-0005-0000-0000-000011010000}"/>
    <cellStyle name="Currency 3 2 2 2 2" xfId="729" xr:uid="{00000000-0005-0000-0000-000012010000}"/>
    <cellStyle name="Currency 3 2 2 2 3" xfId="626" xr:uid="{00000000-0005-0000-0000-000013010000}"/>
    <cellStyle name="Currency 3 2 2 2 4" xfId="442" xr:uid="{00000000-0005-0000-0000-000014010000}"/>
    <cellStyle name="Currency 3 2 2 3" xfId="235" xr:uid="{00000000-0005-0000-0000-000015010000}"/>
    <cellStyle name="Currency 3 2 2 3 2" xfId="691" xr:uid="{00000000-0005-0000-0000-000016010000}"/>
    <cellStyle name="Currency 3 2 2 3 3" xfId="515" xr:uid="{00000000-0005-0000-0000-000017010000}"/>
    <cellStyle name="Currency 3 2 2 4" xfId="573" xr:uid="{00000000-0005-0000-0000-000018010000}"/>
    <cellStyle name="Currency 3 2 2 5" xfId="401" xr:uid="{00000000-0005-0000-0000-000019010000}"/>
    <cellStyle name="Currency 3 2 3" xfId="175" xr:uid="{00000000-0005-0000-0000-00001A010000}"/>
    <cellStyle name="Currency 3 2 3 2" xfId="250" xr:uid="{00000000-0005-0000-0000-00001B010000}"/>
    <cellStyle name="Currency 3 2 3 2 2" xfId="641" xr:uid="{00000000-0005-0000-0000-00001C010000}"/>
    <cellStyle name="Currency 3 2 3 3" xfId="744" xr:uid="{00000000-0005-0000-0000-00001D010000}"/>
    <cellStyle name="Currency 3 2 3 4" xfId="588" xr:uid="{00000000-0005-0000-0000-00001E010000}"/>
    <cellStyle name="Currency 3 2 3 5" xfId="457" xr:uid="{00000000-0005-0000-0000-00001F010000}"/>
    <cellStyle name="Currency 3 2 4" xfId="144" xr:uid="{00000000-0005-0000-0000-000020010000}"/>
    <cellStyle name="Currency 3 2 4 2" xfId="280" xr:uid="{00000000-0005-0000-0000-000021010000}"/>
    <cellStyle name="Currency 3 2 4 2 2" xfId="713" xr:uid="{00000000-0005-0000-0000-000022010000}"/>
    <cellStyle name="Currency 3 2 4 3" xfId="557" xr:uid="{00000000-0005-0000-0000-000023010000}"/>
    <cellStyle name="Currency 3 2 4 4" xfId="426" xr:uid="{00000000-0005-0000-0000-000024010000}"/>
    <cellStyle name="Currency 3 2 5" xfId="219" xr:uid="{00000000-0005-0000-0000-000025010000}"/>
    <cellStyle name="Currency 3 2 5 2" xfId="610" xr:uid="{00000000-0005-0000-0000-000026010000}"/>
    <cellStyle name="Currency 3 2 5 3" xfId="498" xr:uid="{00000000-0005-0000-0000-000027010000}"/>
    <cellStyle name="Currency 3 2 6" xfId="675" xr:uid="{00000000-0005-0000-0000-000028010000}"/>
    <cellStyle name="Currency 3 2 7" xfId="534" xr:uid="{00000000-0005-0000-0000-000029010000}"/>
    <cellStyle name="Currency 3 2 8" xfId="385" xr:uid="{00000000-0005-0000-0000-00002A010000}"/>
    <cellStyle name="Currency 3 3" xfId="105" xr:uid="{00000000-0005-0000-0000-00002B010000}"/>
    <cellStyle name="Currency 3 3 2" xfId="152" xr:uid="{00000000-0005-0000-0000-00002C010000}"/>
    <cellStyle name="Currency 3 3 2 2" xfId="287" xr:uid="{00000000-0005-0000-0000-00002D010000}"/>
    <cellStyle name="Currency 3 3 2 2 2" xfId="721" xr:uid="{00000000-0005-0000-0000-00002E010000}"/>
    <cellStyle name="Currency 3 3 2 3" xfId="618" xr:uid="{00000000-0005-0000-0000-00002F010000}"/>
    <cellStyle name="Currency 3 3 2 4" xfId="434" xr:uid="{00000000-0005-0000-0000-000030010000}"/>
    <cellStyle name="Currency 3 3 3" xfId="227" xr:uid="{00000000-0005-0000-0000-000031010000}"/>
    <cellStyle name="Currency 3 3 3 2" xfId="683" xr:uid="{00000000-0005-0000-0000-000032010000}"/>
    <cellStyle name="Currency 3 3 3 3" xfId="507" xr:uid="{00000000-0005-0000-0000-000033010000}"/>
    <cellStyle name="Currency 3 3 4" xfId="565" xr:uid="{00000000-0005-0000-0000-000034010000}"/>
    <cellStyle name="Currency 3 3 5" xfId="393" xr:uid="{00000000-0005-0000-0000-000035010000}"/>
    <cellStyle name="Currency 3 4" xfId="135" xr:uid="{00000000-0005-0000-0000-000036010000}"/>
    <cellStyle name="Currency 3 4 2" xfId="211" xr:uid="{00000000-0005-0000-0000-000037010000}"/>
    <cellStyle name="Currency 3 4 2 2" xfId="705" xr:uid="{00000000-0005-0000-0000-000038010000}"/>
    <cellStyle name="Currency 3 4 2 3" xfId="602" xr:uid="{00000000-0005-0000-0000-000039010000}"/>
    <cellStyle name="Currency 3 4 2 4" xfId="418" xr:uid="{00000000-0005-0000-0000-00003A010000}"/>
    <cellStyle name="Currency 3 4 3" xfId="490" xr:uid="{00000000-0005-0000-0000-00003B010000}"/>
    <cellStyle name="Currency 3 4 3 2" xfId="667" xr:uid="{00000000-0005-0000-0000-00003C010000}"/>
    <cellStyle name="Currency 3 4 4" xfId="549" xr:uid="{00000000-0005-0000-0000-00003D010000}"/>
    <cellStyle name="Currency 3 4 5" xfId="379" xr:uid="{00000000-0005-0000-0000-00003E010000}"/>
    <cellStyle name="Currency 3 5" xfId="167" xr:uid="{00000000-0005-0000-0000-00003F010000}"/>
    <cellStyle name="Currency 3 5 2" xfId="242" xr:uid="{00000000-0005-0000-0000-000040010000}"/>
    <cellStyle name="Currency 3 5 2 2" xfId="633" xr:uid="{00000000-0005-0000-0000-000041010000}"/>
    <cellStyle name="Currency 3 5 3" xfId="736" xr:uid="{00000000-0005-0000-0000-000042010000}"/>
    <cellStyle name="Currency 3 5 4" xfId="580" xr:uid="{00000000-0005-0000-0000-000043010000}"/>
    <cellStyle name="Currency 3 5 5" xfId="449" xr:uid="{00000000-0005-0000-0000-000044010000}"/>
    <cellStyle name="Currency 3 6" xfId="124" xr:uid="{00000000-0005-0000-0000-000045010000}"/>
    <cellStyle name="Currency 3 6 2" xfId="272" xr:uid="{00000000-0005-0000-0000-000046010000}"/>
    <cellStyle name="Currency 3 6 2 2" xfId="698" xr:uid="{00000000-0005-0000-0000-000047010000}"/>
    <cellStyle name="Currency 3 6 3" xfId="542" xr:uid="{00000000-0005-0000-0000-000048010000}"/>
    <cellStyle name="Currency 3 6 4" xfId="408" xr:uid="{00000000-0005-0000-0000-000049010000}"/>
    <cellStyle name="Currency 3 7" xfId="204" xr:uid="{00000000-0005-0000-0000-00004A010000}"/>
    <cellStyle name="Currency 3 7 2" xfId="595" xr:uid="{00000000-0005-0000-0000-00004B010000}"/>
    <cellStyle name="Currency 3 7 3" xfId="919" xr:uid="{00000000-0005-0000-0000-00004C010000}"/>
    <cellStyle name="Currency 3 7 4" xfId="924" xr:uid="{00000000-0005-0000-0000-00004D010000}"/>
    <cellStyle name="Currency 3 7 5" xfId="484" xr:uid="{00000000-0005-0000-0000-00004E010000}"/>
    <cellStyle name="Currency 3 8" xfId="660" xr:uid="{00000000-0005-0000-0000-00004F010000}"/>
    <cellStyle name="Currency 3 9" xfId="525" xr:uid="{00000000-0005-0000-0000-000050010000}"/>
    <cellStyle name="Currency 4" xfId="22" xr:uid="{00000000-0005-0000-0000-000051010000}"/>
    <cellStyle name="Currency 4 2" xfId="501" xr:uid="{00000000-0005-0000-0000-000052010000}"/>
    <cellStyle name="Currency 4 3" xfId="471" xr:uid="{00000000-0005-0000-0000-000053010000}"/>
    <cellStyle name="Currency 5" xfId="66" xr:uid="{00000000-0005-0000-0000-000054010000}"/>
    <cellStyle name="Currency 5 2" xfId="138" xr:uid="{00000000-0005-0000-0000-000055010000}"/>
    <cellStyle name="Currency 5 2 2" xfId="463" xr:uid="{00000000-0005-0000-0000-000056010000}"/>
    <cellStyle name="Currency 5 3" xfId="852" xr:uid="{00000000-0005-0000-0000-000057010000}"/>
    <cellStyle name="Currency 5 4" xfId="899" xr:uid="{00000000-0005-0000-0000-000058010000}"/>
    <cellStyle name="Currency 5 5" xfId="969" xr:uid="{00000000-0005-0000-0000-000059010000}"/>
    <cellStyle name="Currency 6" xfId="85" xr:uid="{00000000-0005-0000-0000-00005A010000}"/>
    <cellStyle name="Currency 6 2" xfId="200" xr:uid="{00000000-0005-0000-0000-00005B010000}"/>
    <cellStyle name="Currency 6 2 2" xfId="834" xr:uid="{00000000-0005-0000-0000-00005C010000}"/>
    <cellStyle name="Currency 6 3" xfId="902" xr:uid="{00000000-0005-0000-0000-00005D010000}"/>
    <cellStyle name="Currency 6 4" xfId="765" xr:uid="{00000000-0005-0000-0000-00005E010000}"/>
    <cellStyle name="Currency 6 5" xfId="411" xr:uid="{00000000-0005-0000-0000-00005F010000}"/>
    <cellStyle name="Currency 7" xfId="181" xr:uid="{00000000-0005-0000-0000-000060010000}"/>
    <cellStyle name="Currency 7 2" xfId="835" xr:uid="{00000000-0005-0000-0000-000061010000}"/>
    <cellStyle name="Currency 7 3" xfId="793" xr:uid="{00000000-0005-0000-0000-000062010000}"/>
    <cellStyle name="Currency 7 4" xfId="928" xr:uid="{00000000-0005-0000-0000-000063010000}"/>
    <cellStyle name="Currency 7 5" xfId="528" xr:uid="{00000000-0005-0000-0000-000064010000}"/>
    <cellStyle name="Currency 8" xfId="197" xr:uid="{00000000-0005-0000-0000-000065010000}"/>
    <cellStyle name="Currency 8 2" xfId="836" xr:uid="{00000000-0005-0000-0000-000066010000}"/>
    <cellStyle name="Currency 8 3" xfId="801" xr:uid="{00000000-0005-0000-0000-000067010000}"/>
    <cellStyle name="Currency 9" xfId="796" xr:uid="{00000000-0005-0000-0000-000068010000}"/>
    <cellStyle name="Currency 9 2" xfId="837" xr:uid="{00000000-0005-0000-0000-000069010000}"/>
    <cellStyle name="Explanatory Text" xfId="37" builtinId="53" customBuiltin="1"/>
    <cellStyle name="FRxAmtStyle" xfId="78" xr:uid="{00000000-0005-0000-0000-00006B010000}"/>
    <cellStyle name="FRxAmtStyle 2" xfId="113" xr:uid="{00000000-0005-0000-0000-00006C010000}"/>
    <cellStyle name="FRxAmtStyle 2 2" xfId="292" xr:uid="{00000000-0005-0000-0000-00006D010000}"/>
    <cellStyle name="FRxAmtStyle 2 2 2" xfId="815" xr:uid="{00000000-0005-0000-0000-00006E010000}"/>
    <cellStyle name="FRxAmtStyle 2 2 3" xfId="814" xr:uid="{00000000-0005-0000-0000-00006F010000}"/>
    <cellStyle name="FRxAmtStyle 2 3" xfId="256" xr:uid="{00000000-0005-0000-0000-000070010000}"/>
    <cellStyle name="FRxAmtStyle 2 3 2" xfId="340" xr:uid="{00000000-0005-0000-0000-000071010000}"/>
    <cellStyle name="FRxAmtStyle 3" xfId="182" xr:uid="{00000000-0005-0000-0000-000072010000}"/>
    <cellStyle name="FRxAmtStyle 3 2" xfId="751" xr:uid="{00000000-0005-0000-0000-000073010000}"/>
    <cellStyle name="FRxAmtStyle 3 2 2" xfId="917" xr:uid="{00000000-0005-0000-0000-000074010000}"/>
    <cellStyle name="FRxAmtStyle 3 2 3" xfId="838" xr:uid="{00000000-0005-0000-0000-000075010000}"/>
    <cellStyle name="FRxAmtStyle 3 3" xfId="897" xr:uid="{00000000-0005-0000-0000-000076010000}"/>
    <cellStyle name="FRxAmtStyle 3 4" xfId="787" xr:uid="{00000000-0005-0000-0000-000077010000}"/>
    <cellStyle name="FRxAmtStyle 3 5" xfId="361" xr:uid="{00000000-0005-0000-0000-000078010000}"/>
    <cellStyle name="FRxAmtStyle 4" xfId="312" xr:uid="{00000000-0005-0000-0000-000079010000}"/>
    <cellStyle name="FRxAmtStyle 5" xfId="811" xr:uid="{00000000-0005-0000-0000-00007A010000}"/>
    <cellStyle name="FRxAmtStyle 6" xfId="881" xr:uid="{00000000-0005-0000-0000-00007B010000}"/>
    <cellStyle name="FRxAmtStyle 6 2" xfId="938" xr:uid="{00000000-0005-0000-0000-00007C010000}"/>
    <cellStyle name="FRxAmtStyle 7" xfId="948" xr:uid="{00000000-0005-0000-0000-00007D010000}"/>
    <cellStyle name="FRxAmtStyle 7 2" xfId="988" xr:uid="{00000000-0005-0000-0000-00007E010000}"/>
    <cellStyle name="FRxAmtStyle 8" xfId="307" xr:uid="{00000000-0005-0000-0000-00007F010000}"/>
    <cellStyle name="FRxAmtStyle_1Q14 Import Prep" xfId="341" xr:uid="{00000000-0005-0000-0000-000080010000}"/>
    <cellStyle name="FRxCurrStyle" xfId="79" xr:uid="{00000000-0005-0000-0000-000081010000}"/>
    <cellStyle name="FRxCurrStyle 2" xfId="114" xr:uid="{00000000-0005-0000-0000-000082010000}"/>
    <cellStyle name="FRxCurrStyle 2 2" xfId="293" xr:uid="{00000000-0005-0000-0000-000083010000}"/>
    <cellStyle name="FRxCurrStyle 2 2 2" xfId="839" xr:uid="{00000000-0005-0000-0000-000084010000}"/>
    <cellStyle name="FRxCurrStyle 2 2 3" xfId="933" xr:uid="{00000000-0005-0000-0000-000085010000}"/>
    <cellStyle name="FRxCurrStyle 2 3" xfId="257" xr:uid="{00000000-0005-0000-0000-000086010000}"/>
    <cellStyle name="FRxCurrStyle 2 3 2" xfId="868" xr:uid="{00000000-0005-0000-0000-000087010000}"/>
    <cellStyle name="FRxCurrStyle 2 4" xfId="861" xr:uid="{00000000-0005-0000-0000-000088010000}"/>
    <cellStyle name="FRxCurrStyle 2 5" xfId="770" xr:uid="{00000000-0005-0000-0000-000089010000}"/>
    <cellStyle name="FRxCurrStyle 3" xfId="183" xr:uid="{00000000-0005-0000-0000-00008A010000}"/>
    <cellStyle name="FRxCurrStyle 3 2" xfId="752" xr:uid="{00000000-0005-0000-0000-00008B010000}"/>
    <cellStyle name="FRxCurrStyle 3 2 2" xfId="918" xr:uid="{00000000-0005-0000-0000-00008C010000}"/>
    <cellStyle name="FRxCurrStyle 3 2 3" xfId="840" xr:uid="{00000000-0005-0000-0000-00008D010000}"/>
    <cellStyle name="FRxCurrStyle 3 3" xfId="898" xr:uid="{00000000-0005-0000-0000-00008E010000}"/>
    <cellStyle name="FRxCurrStyle 3 4" xfId="788" xr:uid="{00000000-0005-0000-0000-00008F010000}"/>
    <cellStyle name="FRxCurrStyle 3 5" xfId="362" xr:uid="{00000000-0005-0000-0000-000090010000}"/>
    <cellStyle name="FRxCurrStyle 4" xfId="806" xr:uid="{00000000-0005-0000-0000-000091010000}"/>
    <cellStyle name="FRxCurrStyle 5" xfId="812" xr:uid="{00000000-0005-0000-0000-000092010000}"/>
    <cellStyle name="FRxCurrStyle 6" xfId="864" xr:uid="{00000000-0005-0000-0000-000093010000}"/>
    <cellStyle name="FRxCurrStyle 7" xfId="308" xr:uid="{00000000-0005-0000-0000-000094010000}"/>
    <cellStyle name="FRxCurrStyle_1Q14 Import Preparation" xfId="342" xr:uid="{00000000-0005-0000-0000-000095010000}"/>
    <cellStyle name="FRxPcntStyle" xfId="80" xr:uid="{00000000-0005-0000-0000-000096010000}"/>
    <cellStyle name="FRxPcntStyle 2" xfId="115" xr:uid="{00000000-0005-0000-0000-000097010000}"/>
    <cellStyle name="FRxPcntStyle 2 2" xfId="258" xr:uid="{00000000-0005-0000-0000-000098010000}"/>
    <cellStyle name="FRxPcntStyle 3" xfId="184" xr:uid="{00000000-0005-0000-0000-000099010000}"/>
    <cellStyle name="FRxPcntStyle 3 2" xfId="313" xr:uid="{00000000-0005-0000-0000-00009A010000}"/>
    <cellStyle name="FRxPcntStyle 4" xfId="363" xr:uid="{00000000-0005-0000-0000-00009B010000}"/>
    <cellStyle name="FRxPcntStyle 4 2" xfId="753" xr:uid="{00000000-0005-0000-0000-00009C010000}"/>
    <cellStyle name="FRxPcntStyle 4 3" xfId="908" xr:uid="{00000000-0005-0000-0000-00009D010000}"/>
    <cellStyle name="FRxPcntStyle_1Q2015 Import Prep" xfId="369" xr:uid="{00000000-0005-0000-0000-00009E010000}"/>
    <cellStyle name="Good" xfId="28" builtinId="26" customBuiltin="1"/>
    <cellStyle name="Heading 1" xfId="24" builtinId="16" customBuiltin="1"/>
    <cellStyle name="Heading 2" xfId="25" builtinId="17" customBuiltin="1"/>
    <cellStyle name="Heading 3" xfId="26" builtinId="18" customBuiltin="1"/>
    <cellStyle name="Heading 4" xfId="27" builtinId="19" customBuiltin="1"/>
    <cellStyle name="Input" xfId="31" builtinId="20" customBuiltin="1"/>
    <cellStyle name="Linked Cell" xfId="34" builtinId="24" customBuiltin="1"/>
    <cellStyle name="Neutral" xfId="30" builtinId="28" customBuiltin="1"/>
    <cellStyle name="Normal" xfId="0" builtinId="0"/>
    <cellStyle name="Normal 10" xfId="179" xr:uid="{00000000-0005-0000-0000-0000A8010000}"/>
    <cellStyle name="Normal 10 2" xfId="946" xr:uid="{00000000-0005-0000-0000-0000A9010000}"/>
    <cellStyle name="Normal 10 3" xfId="467" xr:uid="{00000000-0005-0000-0000-0000AA010000}"/>
    <cellStyle name="Normal 11" xfId="196" xr:uid="{00000000-0005-0000-0000-0000AB010000}"/>
    <cellStyle name="Normal 11 2" xfId="949" xr:uid="{00000000-0005-0000-0000-0000AC010000}"/>
    <cellStyle name="Normal 11 3" xfId="987" xr:uid="{00000000-0005-0000-0000-0000AD010000}"/>
    <cellStyle name="Normal 11 4" xfId="947" xr:uid="{00000000-0005-0000-0000-0000AE010000}"/>
    <cellStyle name="Normal 12" xfId="304" xr:uid="{00000000-0005-0000-0000-0000AF010000}"/>
    <cellStyle name="Normal 2" xfId="2" xr:uid="{00000000-0005-0000-0000-0000B0010000}"/>
    <cellStyle name="Normal 2 2" xfId="17" xr:uid="{00000000-0005-0000-0000-0000B1010000}"/>
    <cellStyle name="Normal 2 2 2" xfId="18" xr:uid="{00000000-0005-0000-0000-0000B2010000}"/>
    <cellStyle name="Normal 2 2 3" xfId="783" xr:uid="{00000000-0005-0000-0000-0000B3010000}"/>
    <cellStyle name="Normal 2 2 4" xfId="841" xr:uid="{00000000-0005-0000-0000-0000B4010000}"/>
    <cellStyle name="Normal 2 2 5" xfId="867" xr:uid="{00000000-0005-0000-0000-0000B5010000}"/>
    <cellStyle name="Normal 2 2 6" xfId="769" xr:uid="{00000000-0005-0000-0000-0000B6010000}"/>
    <cellStyle name="Normal 2 3" xfId="21" xr:uid="{00000000-0005-0000-0000-0000B7010000}"/>
    <cellStyle name="Normal 2 3 10" xfId="970" xr:uid="{00000000-0005-0000-0000-0000B8010000}"/>
    <cellStyle name="Normal 2 3 11" xfId="343" xr:uid="{00000000-0005-0000-0000-0000B9010000}"/>
    <cellStyle name="Normal 2 3 2" xfId="68" xr:uid="{00000000-0005-0000-0000-0000BA010000}"/>
    <cellStyle name="Normal 2 3 2 2" xfId="162" xr:uid="{00000000-0005-0000-0000-0000BB010000}"/>
    <cellStyle name="Normal 2 3 2 2 2" xfId="302" xr:uid="{00000000-0005-0000-0000-0000BC010000}"/>
    <cellStyle name="Normal 2 3 2 2 2 2" xfId="731" xr:uid="{00000000-0005-0000-0000-0000BD010000}"/>
    <cellStyle name="Normal 2 3 2 2 2 3" xfId="628" xr:uid="{00000000-0005-0000-0000-0000BE010000}"/>
    <cellStyle name="Normal 2 3 2 2 2 4" xfId="444" xr:uid="{00000000-0005-0000-0000-0000BF010000}"/>
    <cellStyle name="Normal 2 3 2 2 3" xfId="237" xr:uid="{00000000-0005-0000-0000-0000C0010000}"/>
    <cellStyle name="Normal 2 3 2 2 3 2" xfId="693" xr:uid="{00000000-0005-0000-0000-0000C1010000}"/>
    <cellStyle name="Normal 2 3 2 2 3 3" xfId="517" xr:uid="{00000000-0005-0000-0000-0000C2010000}"/>
    <cellStyle name="Normal 2 3 2 2 4" xfId="575" xr:uid="{00000000-0005-0000-0000-0000C3010000}"/>
    <cellStyle name="Normal 2 3 2 2 5" xfId="403" xr:uid="{00000000-0005-0000-0000-0000C4010000}"/>
    <cellStyle name="Normal 2 3 2 3" xfId="177" xr:uid="{00000000-0005-0000-0000-0000C5010000}"/>
    <cellStyle name="Normal 2 3 2 3 2" xfId="252" xr:uid="{00000000-0005-0000-0000-0000C6010000}"/>
    <cellStyle name="Normal 2 3 2 3 2 2" xfId="746" xr:uid="{00000000-0005-0000-0000-0000C7010000}"/>
    <cellStyle name="Normal 2 3 2 3 2 3" xfId="643" xr:uid="{00000000-0005-0000-0000-0000C8010000}"/>
    <cellStyle name="Normal 2 3 2 3 2 4" xfId="459" xr:uid="{00000000-0005-0000-0000-0000C9010000}"/>
    <cellStyle name="Normal 2 3 2 3 3" xfId="500" xr:uid="{00000000-0005-0000-0000-0000CA010000}"/>
    <cellStyle name="Normal 2 3 2 3 3 2" xfId="677" xr:uid="{00000000-0005-0000-0000-0000CB010000}"/>
    <cellStyle name="Normal 2 3 2 3 4" xfId="590" xr:uid="{00000000-0005-0000-0000-0000CC010000}"/>
    <cellStyle name="Normal 2 3 2 3 5" xfId="387" xr:uid="{00000000-0005-0000-0000-0000CD010000}"/>
    <cellStyle name="Normal 2 3 2 4" xfId="146" xr:uid="{00000000-0005-0000-0000-0000CE010000}"/>
    <cellStyle name="Normal 2 3 2 4 2" xfId="282" xr:uid="{00000000-0005-0000-0000-0000CF010000}"/>
    <cellStyle name="Normal 2 3 2 4 2 2" xfId="715" xr:uid="{00000000-0005-0000-0000-0000D0010000}"/>
    <cellStyle name="Normal 2 3 2 4 3" xfId="559" xr:uid="{00000000-0005-0000-0000-0000D1010000}"/>
    <cellStyle name="Normal 2 3 2 4 4" xfId="428" xr:uid="{00000000-0005-0000-0000-0000D2010000}"/>
    <cellStyle name="Normal 2 3 2 5" xfId="221" xr:uid="{00000000-0005-0000-0000-0000D3010000}"/>
    <cellStyle name="Normal 2 3 2 5 2" xfId="612" xr:uid="{00000000-0005-0000-0000-0000D4010000}"/>
    <cellStyle name="Normal 2 3 2 5 3" xfId="485" xr:uid="{00000000-0005-0000-0000-0000D5010000}"/>
    <cellStyle name="Normal 2 3 2 6" xfId="662" xr:uid="{00000000-0005-0000-0000-0000D6010000}"/>
    <cellStyle name="Normal 2 3 2 7" xfId="536" xr:uid="{00000000-0005-0000-0000-0000D7010000}"/>
    <cellStyle name="Normal 2 3 2 8" xfId="375" xr:uid="{00000000-0005-0000-0000-0000D8010000}"/>
    <cellStyle name="Normal 2 3 2_Consolidated" xfId="473" xr:uid="{00000000-0005-0000-0000-0000D9010000}"/>
    <cellStyle name="Normal 2 3 3" xfId="87" xr:uid="{00000000-0005-0000-0000-0000DA010000}"/>
    <cellStyle name="Normal 2 3 3 2" xfId="154" xr:uid="{00000000-0005-0000-0000-0000DB010000}"/>
    <cellStyle name="Normal 2 3 3 2 2" xfId="289" xr:uid="{00000000-0005-0000-0000-0000DC010000}"/>
    <cellStyle name="Normal 2 3 3 2 2 2" xfId="723" xr:uid="{00000000-0005-0000-0000-0000DD010000}"/>
    <cellStyle name="Normal 2 3 3 2 3" xfId="620" xr:uid="{00000000-0005-0000-0000-0000DE010000}"/>
    <cellStyle name="Normal 2 3 3 2 4" xfId="436" xr:uid="{00000000-0005-0000-0000-0000DF010000}"/>
    <cellStyle name="Normal 2 3 3 3" xfId="229" xr:uid="{00000000-0005-0000-0000-0000E0010000}"/>
    <cellStyle name="Normal 2 3 3 3 2" xfId="685" xr:uid="{00000000-0005-0000-0000-0000E1010000}"/>
    <cellStyle name="Normal 2 3 3 3 3" xfId="509" xr:uid="{00000000-0005-0000-0000-0000E2010000}"/>
    <cellStyle name="Normal 2 3 3 4" xfId="567" xr:uid="{00000000-0005-0000-0000-0000E3010000}"/>
    <cellStyle name="Normal 2 3 3 5" xfId="395" xr:uid="{00000000-0005-0000-0000-0000E4010000}"/>
    <cellStyle name="Normal 2 3 4" xfId="137" xr:uid="{00000000-0005-0000-0000-0000E5010000}"/>
    <cellStyle name="Normal 2 3 4 2" xfId="213" xr:uid="{00000000-0005-0000-0000-0000E6010000}"/>
    <cellStyle name="Normal 2 3 4 2 2" xfId="707" xr:uid="{00000000-0005-0000-0000-0000E7010000}"/>
    <cellStyle name="Normal 2 3 4 2 3" xfId="604" xr:uid="{00000000-0005-0000-0000-0000E8010000}"/>
    <cellStyle name="Normal 2 3 4 2 4" xfId="420" xr:uid="{00000000-0005-0000-0000-0000E9010000}"/>
    <cellStyle name="Normal 2 3 4 3" xfId="492" xr:uid="{00000000-0005-0000-0000-0000EA010000}"/>
    <cellStyle name="Normal 2 3 4 3 2" xfId="669" xr:uid="{00000000-0005-0000-0000-0000EB010000}"/>
    <cellStyle name="Normal 2 3 4 4" xfId="551" xr:uid="{00000000-0005-0000-0000-0000EC010000}"/>
    <cellStyle name="Normal 2 3 4 5" xfId="381" xr:uid="{00000000-0005-0000-0000-0000ED010000}"/>
    <cellStyle name="Normal 2 3 5" xfId="169" xr:uid="{00000000-0005-0000-0000-0000EE010000}"/>
    <cellStyle name="Normal 2 3 5 2" xfId="244" xr:uid="{00000000-0005-0000-0000-0000EF010000}"/>
    <cellStyle name="Normal 2 3 5 2 2" xfId="635" xr:uid="{00000000-0005-0000-0000-0000F0010000}"/>
    <cellStyle name="Normal 2 3 5 3" xfId="738" xr:uid="{00000000-0005-0000-0000-0000F1010000}"/>
    <cellStyle name="Normal 2 3 5 4" xfId="582" xr:uid="{00000000-0005-0000-0000-0000F2010000}"/>
    <cellStyle name="Normal 2 3 5 5" xfId="451" xr:uid="{00000000-0005-0000-0000-0000F3010000}"/>
    <cellStyle name="Normal 2 3 6" xfId="130" xr:uid="{00000000-0005-0000-0000-0000F4010000}"/>
    <cellStyle name="Normal 2 3 6 2" xfId="274" xr:uid="{00000000-0005-0000-0000-0000F5010000}"/>
    <cellStyle name="Normal 2 3 6 2 2" xfId="700" xr:uid="{00000000-0005-0000-0000-0000F6010000}"/>
    <cellStyle name="Normal 2 3 6 3" xfId="544" xr:uid="{00000000-0005-0000-0000-0000F7010000}"/>
    <cellStyle name="Normal 2 3 6 4" xfId="413" xr:uid="{00000000-0005-0000-0000-0000F8010000}"/>
    <cellStyle name="Normal 2 3 7" xfId="206" xr:uid="{00000000-0005-0000-0000-0000F9010000}"/>
    <cellStyle name="Normal 2 3 7 2" xfId="597" xr:uid="{00000000-0005-0000-0000-0000FA010000}"/>
    <cellStyle name="Normal 2 3 7 3" xfId="480" xr:uid="{00000000-0005-0000-0000-0000FB010000}"/>
    <cellStyle name="Normal 2 3 8" xfId="656" xr:uid="{00000000-0005-0000-0000-0000FC010000}"/>
    <cellStyle name="Normal 2 3 9" xfId="527" xr:uid="{00000000-0005-0000-0000-0000FD010000}"/>
    <cellStyle name="Normal 2 3_Consolidated" xfId="472" xr:uid="{00000000-0005-0000-0000-0000FE010000}"/>
    <cellStyle name="Normal 2 4" xfId="14" xr:uid="{00000000-0005-0000-0000-0000FF010000}"/>
    <cellStyle name="Normal 2 4 2" xfId="875" xr:uid="{00000000-0005-0000-0000-000000020000}"/>
    <cellStyle name="Normal 2 4 3" xfId="860" xr:uid="{00000000-0005-0000-0000-000001020000}"/>
    <cellStyle name="Normal 2 4 4" xfId="779" xr:uid="{00000000-0005-0000-0000-000002020000}"/>
    <cellStyle name="Normal 2 4 5" xfId="344" xr:uid="{00000000-0005-0000-0000-000003020000}"/>
    <cellStyle name="Normal 2 5" xfId="766" xr:uid="{00000000-0005-0000-0000-000004020000}"/>
    <cellStyle name="Normal 2 6" xfId="306" xr:uid="{00000000-0005-0000-0000-000005020000}"/>
    <cellStyle name="Normal 3" xfId="19" xr:uid="{00000000-0005-0000-0000-000006020000}"/>
    <cellStyle name="Normal 3 10" xfId="920" xr:uid="{00000000-0005-0000-0000-000007020000}"/>
    <cellStyle name="Normal 3 11" xfId="971" xr:uid="{00000000-0005-0000-0000-000008020000}"/>
    <cellStyle name="Normal 3 12" xfId="321" xr:uid="{00000000-0005-0000-0000-000009020000}"/>
    <cellStyle name="Normal 3 2" xfId="20" xr:uid="{00000000-0005-0000-0000-00000A020000}"/>
    <cellStyle name="Normal 3 2 2" xfId="359" xr:uid="{00000000-0005-0000-0000-00000B020000}"/>
    <cellStyle name="Normal 3 2 2 2" xfId="896" xr:uid="{00000000-0005-0000-0000-00000C020000}"/>
    <cellStyle name="Normal 3 2 2 3" xfId="876" xr:uid="{00000000-0005-0000-0000-00000D020000}"/>
    <cellStyle name="Normal 3 2 2 4" xfId="972" xr:uid="{00000000-0005-0000-0000-00000E020000}"/>
    <cellStyle name="Normal 3 2 3" xfId="858" xr:uid="{00000000-0005-0000-0000-00000F020000}"/>
    <cellStyle name="Normal 3 3" xfId="77" xr:uid="{00000000-0005-0000-0000-000010020000}"/>
    <cellStyle name="Normal 3 3 10" xfId="973" xr:uid="{00000000-0005-0000-0000-000011020000}"/>
    <cellStyle name="Normal 3 3 11" xfId="346" xr:uid="{00000000-0005-0000-0000-000012020000}"/>
    <cellStyle name="Normal 3 3 2" xfId="106" xr:uid="{00000000-0005-0000-0000-000013020000}"/>
    <cellStyle name="Normal 3 3 2 2" xfId="163" xr:uid="{00000000-0005-0000-0000-000014020000}"/>
    <cellStyle name="Normal 3 3 2 2 2" xfId="303" xr:uid="{00000000-0005-0000-0000-000015020000}"/>
    <cellStyle name="Normal 3 3 2 2 2 2" xfId="732" xr:uid="{00000000-0005-0000-0000-000016020000}"/>
    <cellStyle name="Normal 3 3 2 2 2 3" xfId="629" xr:uid="{00000000-0005-0000-0000-000017020000}"/>
    <cellStyle name="Normal 3 3 2 2 2 4" xfId="445" xr:uid="{00000000-0005-0000-0000-000018020000}"/>
    <cellStyle name="Normal 3 3 2 2 3" xfId="238" xr:uid="{00000000-0005-0000-0000-000019020000}"/>
    <cellStyle name="Normal 3 3 2 2 3 2" xfId="694" xr:uid="{00000000-0005-0000-0000-00001A020000}"/>
    <cellStyle name="Normal 3 3 2 2 3 3" xfId="518" xr:uid="{00000000-0005-0000-0000-00001B020000}"/>
    <cellStyle name="Normal 3 3 2 2 4" xfId="576" xr:uid="{00000000-0005-0000-0000-00001C020000}"/>
    <cellStyle name="Normal 3 3 2 2 5" xfId="404" xr:uid="{00000000-0005-0000-0000-00001D020000}"/>
    <cellStyle name="Normal 3 3 2 3" xfId="178" xr:uid="{00000000-0005-0000-0000-00001E020000}"/>
    <cellStyle name="Normal 3 3 2 3 2" xfId="253" xr:uid="{00000000-0005-0000-0000-00001F020000}"/>
    <cellStyle name="Normal 3 3 2 3 2 2" xfId="644" xr:uid="{00000000-0005-0000-0000-000020020000}"/>
    <cellStyle name="Normal 3 3 2 3 3" xfId="747" xr:uid="{00000000-0005-0000-0000-000021020000}"/>
    <cellStyle name="Normal 3 3 2 3 4" xfId="591" xr:uid="{00000000-0005-0000-0000-000022020000}"/>
    <cellStyle name="Normal 3 3 2 3 5" xfId="460" xr:uid="{00000000-0005-0000-0000-000023020000}"/>
    <cellStyle name="Normal 3 3 2 4" xfId="147" xr:uid="{00000000-0005-0000-0000-000024020000}"/>
    <cellStyle name="Normal 3 3 2 4 2" xfId="283" xr:uid="{00000000-0005-0000-0000-000025020000}"/>
    <cellStyle name="Normal 3 3 2 4 2 2" xfId="716" xr:uid="{00000000-0005-0000-0000-000026020000}"/>
    <cellStyle name="Normal 3 3 2 4 3" xfId="560" xr:uid="{00000000-0005-0000-0000-000027020000}"/>
    <cellStyle name="Normal 3 3 2 4 4" xfId="429" xr:uid="{00000000-0005-0000-0000-000028020000}"/>
    <cellStyle name="Normal 3 3 2 5" xfId="222" xr:uid="{00000000-0005-0000-0000-000029020000}"/>
    <cellStyle name="Normal 3 3 2 5 2" xfId="613" xr:uid="{00000000-0005-0000-0000-00002A020000}"/>
    <cellStyle name="Normal 3 3 2 5 3" xfId="502" xr:uid="{00000000-0005-0000-0000-00002B020000}"/>
    <cellStyle name="Normal 3 3 2 6" xfId="678" xr:uid="{00000000-0005-0000-0000-00002C020000}"/>
    <cellStyle name="Normal 3 3 2 7" xfId="537" xr:uid="{00000000-0005-0000-0000-00002D020000}"/>
    <cellStyle name="Normal 3 3 2 8" xfId="388" xr:uid="{00000000-0005-0000-0000-00002E020000}"/>
    <cellStyle name="Normal 3 3 2_Consolidated" xfId="475" xr:uid="{00000000-0005-0000-0000-00002F020000}"/>
    <cellStyle name="Normal 3 3 3" xfId="155" xr:uid="{00000000-0005-0000-0000-000030020000}"/>
    <cellStyle name="Normal 3 3 3 2" xfId="290" xr:uid="{00000000-0005-0000-0000-000031020000}"/>
    <cellStyle name="Normal 3 3 3 2 2" xfId="724" xr:uid="{00000000-0005-0000-0000-000032020000}"/>
    <cellStyle name="Normal 3 3 3 2 3" xfId="621" xr:uid="{00000000-0005-0000-0000-000033020000}"/>
    <cellStyle name="Normal 3 3 3 2 4" xfId="437" xr:uid="{00000000-0005-0000-0000-000034020000}"/>
    <cellStyle name="Normal 3 3 3 3" xfId="230" xr:uid="{00000000-0005-0000-0000-000035020000}"/>
    <cellStyle name="Normal 3 3 3 3 2" xfId="686" xr:uid="{00000000-0005-0000-0000-000036020000}"/>
    <cellStyle name="Normal 3 3 3 3 3" xfId="510" xr:uid="{00000000-0005-0000-0000-000037020000}"/>
    <cellStyle name="Normal 3 3 3 4" xfId="568" xr:uid="{00000000-0005-0000-0000-000038020000}"/>
    <cellStyle name="Normal 3 3 3 5" xfId="396" xr:uid="{00000000-0005-0000-0000-000039020000}"/>
    <cellStyle name="Normal 3 3 4" xfId="139" xr:uid="{00000000-0005-0000-0000-00003A020000}"/>
    <cellStyle name="Normal 3 3 4 2" xfId="214" xr:uid="{00000000-0005-0000-0000-00003B020000}"/>
    <cellStyle name="Normal 3 3 4 2 2" xfId="708" xr:uid="{00000000-0005-0000-0000-00003C020000}"/>
    <cellStyle name="Normal 3 3 4 2 3" xfId="605" xr:uid="{00000000-0005-0000-0000-00003D020000}"/>
    <cellStyle name="Normal 3 3 4 2 4" xfId="421" xr:uid="{00000000-0005-0000-0000-00003E020000}"/>
    <cellStyle name="Normal 3 3 4 3" xfId="493" xr:uid="{00000000-0005-0000-0000-00003F020000}"/>
    <cellStyle name="Normal 3 3 4 3 2" xfId="670" xr:uid="{00000000-0005-0000-0000-000040020000}"/>
    <cellStyle name="Normal 3 3 4 4" xfId="552" xr:uid="{00000000-0005-0000-0000-000041020000}"/>
    <cellStyle name="Normal 3 3 4 5" xfId="382" xr:uid="{00000000-0005-0000-0000-000042020000}"/>
    <cellStyle name="Normal 3 3 5" xfId="170" xr:uid="{00000000-0005-0000-0000-000043020000}"/>
    <cellStyle name="Normal 3 3 5 2" xfId="245" xr:uid="{00000000-0005-0000-0000-000044020000}"/>
    <cellStyle name="Normal 3 3 5 2 2" xfId="636" xr:uid="{00000000-0005-0000-0000-000045020000}"/>
    <cellStyle name="Normal 3 3 5 3" xfId="739" xr:uid="{00000000-0005-0000-0000-000046020000}"/>
    <cellStyle name="Normal 3 3 5 4" xfId="583" xr:uid="{00000000-0005-0000-0000-000047020000}"/>
    <cellStyle name="Normal 3 3 5 5" xfId="452" xr:uid="{00000000-0005-0000-0000-000048020000}"/>
    <cellStyle name="Normal 3 3 6" xfId="131" xr:uid="{00000000-0005-0000-0000-000049020000}"/>
    <cellStyle name="Normal 3 3 6 2" xfId="275" xr:uid="{00000000-0005-0000-0000-00004A020000}"/>
    <cellStyle name="Normal 3 3 6 2 2" xfId="701" xr:uid="{00000000-0005-0000-0000-00004B020000}"/>
    <cellStyle name="Normal 3 3 6 3" xfId="545" xr:uid="{00000000-0005-0000-0000-00004C020000}"/>
    <cellStyle name="Normal 3 3 6 4" xfId="414" xr:uid="{00000000-0005-0000-0000-00004D020000}"/>
    <cellStyle name="Normal 3 3 7" xfId="207" xr:uid="{00000000-0005-0000-0000-00004E020000}"/>
    <cellStyle name="Normal 3 3 7 2" xfId="598" xr:uid="{00000000-0005-0000-0000-00004F020000}"/>
    <cellStyle name="Normal 3 3 7 3" xfId="486" xr:uid="{00000000-0005-0000-0000-000050020000}"/>
    <cellStyle name="Normal 3 3 8" xfId="663" xr:uid="{00000000-0005-0000-0000-000051020000}"/>
    <cellStyle name="Normal 3 3 9" xfId="529" xr:uid="{00000000-0005-0000-0000-000052020000}"/>
    <cellStyle name="Normal 3 3_Consolidated" xfId="474" xr:uid="{00000000-0005-0000-0000-000053020000}"/>
    <cellStyle name="Normal 3 4" xfId="345" xr:uid="{00000000-0005-0000-0000-000054020000}"/>
    <cellStyle name="Normal 3 5" xfId="842" xr:uid="{00000000-0005-0000-0000-000055020000}"/>
    <cellStyle name="Normal 3 6" xfId="866" xr:uid="{00000000-0005-0000-0000-000056020000}"/>
    <cellStyle name="Normal 3 7" xfId="768" xr:uid="{00000000-0005-0000-0000-000057020000}"/>
    <cellStyle name="Normal 3 8" xfId="903" xr:uid="{00000000-0005-0000-0000-000058020000}"/>
    <cellStyle name="Normal 3 9" xfId="784" xr:uid="{00000000-0005-0000-0000-000059020000}"/>
    <cellStyle name="Normal 4" xfId="13" xr:uid="{00000000-0005-0000-0000-00005A020000}"/>
    <cellStyle name="Normal 4 10" xfId="522" xr:uid="{00000000-0005-0000-0000-00005B020000}"/>
    <cellStyle name="Normal 4 11" xfId="772" xr:uid="{00000000-0005-0000-0000-00005C020000}"/>
    <cellStyle name="Normal 4 12" xfId="974" xr:uid="{00000000-0005-0000-0000-00005D020000}"/>
    <cellStyle name="Normal 4 13" xfId="322" xr:uid="{00000000-0005-0000-0000-00005E020000}"/>
    <cellStyle name="Normal 4 2" xfId="81" xr:uid="{00000000-0005-0000-0000-00005F020000}"/>
    <cellStyle name="Normal 4 2 10" xfId="347" xr:uid="{00000000-0005-0000-0000-000060020000}"/>
    <cellStyle name="Normal 4 2 2" xfId="107" xr:uid="{00000000-0005-0000-0000-000061020000}"/>
    <cellStyle name="Normal 4 2 2 2" xfId="148" xr:uid="{00000000-0005-0000-0000-000062020000}"/>
    <cellStyle name="Normal 4 2 2 2 2" xfId="295" xr:uid="{00000000-0005-0000-0000-000063020000}"/>
    <cellStyle name="Normal 4 2 2 2 2 2" xfId="717" xr:uid="{00000000-0005-0000-0000-000064020000}"/>
    <cellStyle name="Normal 4 2 2 2 3" xfId="614" xr:uid="{00000000-0005-0000-0000-000065020000}"/>
    <cellStyle name="Normal 4 2 2 2 4" xfId="430" xr:uid="{00000000-0005-0000-0000-000066020000}"/>
    <cellStyle name="Normal 4 2 2 3" xfId="223" xr:uid="{00000000-0005-0000-0000-000067020000}"/>
    <cellStyle name="Normal 4 2 2 3 2" xfId="679" xr:uid="{00000000-0005-0000-0000-000068020000}"/>
    <cellStyle name="Normal 4 2 2 3 3" xfId="503" xr:uid="{00000000-0005-0000-0000-000069020000}"/>
    <cellStyle name="Normal 4 2 2 4" xfId="561" xr:uid="{00000000-0005-0000-0000-00006A020000}"/>
    <cellStyle name="Normal 4 2 2 5" xfId="389" xr:uid="{00000000-0005-0000-0000-00006B020000}"/>
    <cellStyle name="Normal 4 2 3" xfId="156" xr:uid="{00000000-0005-0000-0000-00006C020000}"/>
    <cellStyle name="Normal 4 2 3 2" xfId="296" xr:uid="{00000000-0005-0000-0000-00006D020000}"/>
    <cellStyle name="Normal 4 2 3 2 2" xfId="725" xr:uid="{00000000-0005-0000-0000-00006E020000}"/>
    <cellStyle name="Normal 4 2 3 2 3" xfId="622" xr:uid="{00000000-0005-0000-0000-00006F020000}"/>
    <cellStyle name="Normal 4 2 3 2 4" xfId="438" xr:uid="{00000000-0005-0000-0000-000070020000}"/>
    <cellStyle name="Normal 4 2 3 3" xfId="231" xr:uid="{00000000-0005-0000-0000-000071020000}"/>
    <cellStyle name="Normal 4 2 3 3 2" xfId="687" xr:uid="{00000000-0005-0000-0000-000072020000}"/>
    <cellStyle name="Normal 4 2 3 3 3" xfId="511" xr:uid="{00000000-0005-0000-0000-000073020000}"/>
    <cellStyle name="Normal 4 2 3 4" xfId="569" xr:uid="{00000000-0005-0000-0000-000074020000}"/>
    <cellStyle name="Normal 4 2 3 5" xfId="397" xr:uid="{00000000-0005-0000-0000-000075020000}"/>
    <cellStyle name="Normal 4 2 4" xfId="171" xr:uid="{00000000-0005-0000-0000-000076020000}"/>
    <cellStyle name="Normal 4 2 4 2" xfId="246" xr:uid="{00000000-0005-0000-0000-000077020000}"/>
    <cellStyle name="Normal 4 2 4 2 2" xfId="637" xr:uid="{00000000-0005-0000-0000-000078020000}"/>
    <cellStyle name="Normal 4 2 4 3" xfId="740" xr:uid="{00000000-0005-0000-0000-000079020000}"/>
    <cellStyle name="Normal 4 2 4 4" xfId="584" xr:uid="{00000000-0005-0000-0000-00007A020000}"/>
    <cellStyle name="Normal 4 2 4 5" xfId="453" xr:uid="{00000000-0005-0000-0000-00007B020000}"/>
    <cellStyle name="Normal 4 2 5" xfId="140" xr:uid="{00000000-0005-0000-0000-00007C020000}"/>
    <cellStyle name="Normal 4 2 5 2" xfId="276" xr:uid="{00000000-0005-0000-0000-00007D020000}"/>
    <cellStyle name="Normal 4 2 5 2 2" xfId="709" xr:uid="{00000000-0005-0000-0000-00007E020000}"/>
    <cellStyle name="Normal 4 2 5 3" xfId="553" xr:uid="{00000000-0005-0000-0000-00007F020000}"/>
    <cellStyle name="Normal 4 2 5 4" xfId="422" xr:uid="{00000000-0005-0000-0000-000080020000}"/>
    <cellStyle name="Normal 4 2 6" xfId="215" xr:uid="{00000000-0005-0000-0000-000081020000}"/>
    <cellStyle name="Normal 4 2 6 2" xfId="606" xr:uid="{00000000-0005-0000-0000-000082020000}"/>
    <cellStyle name="Normal 4 2 6 3" xfId="494" xr:uid="{00000000-0005-0000-0000-000083020000}"/>
    <cellStyle name="Normal 4 2 7" xfId="671" xr:uid="{00000000-0005-0000-0000-000084020000}"/>
    <cellStyle name="Normal 4 2 8" xfId="530" xr:uid="{00000000-0005-0000-0000-000085020000}"/>
    <cellStyle name="Normal 4 2 9" xfId="975" xr:uid="{00000000-0005-0000-0000-000086020000}"/>
    <cellStyle name="Normal 4 2_Consolidated" xfId="477" xr:uid="{00000000-0005-0000-0000-000087020000}"/>
    <cellStyle name="Normal 4 3" xfId="71" xr:uid="{00000000-0005-0000-0000-000088020000}"/>
    <cellStyle name="Normal 4 3 2" xfId="157" xr:uid="{00000000-0005-0000-0000-000089020000}"/>
    <cellStyle name="Normal 4 3 2 2" xfId="297" xr:uid="{00000000-0005-0000-0000-00008A020000}"/>
    <cellStyle name="Normal 4 3 2 2 2" xfId="726" xr:uid="{00000000-0005-0000-0000-00008B020000}"/>
    <cellStyle name="Normal 4 3 2 2 3" xfId="623" xr:uid="{00000000-0005-0000-0000-00008C020000}"/>
    <cellStyle name="Normal 4 3 2 2 4" xfId="439" xr:uid="{00000000-0005-0000-0000-00008D020000}"/>
    <cellStyle name="Normal 4 3 2 3" xfId="232" xr:uid="{00000000-0005-0000-0000-00008E020000}"/>
    <cellStyle name="Normal 4 3 2 3 2" xfId="688" xr:uid="{00000000-0005-0000-0000-00008F020000}"/>
    <cellStyle name="Normal 4 3 2 3 3" xfId="512" xr:uid="{00000000-0005-0000-0000-000090020000}"/>
    <cellStyle name="Normal 4 3 2 4" xfId="570" xr:uid="{00000000-0005-0000-0000-000091020000}"/>
    <cellStyle name="Normal 4 3 2 5" xfId="398" xr:uid="{00000000-0005-0000-0000-000092020000}"/>
    <cellStyle name="Normal 4 3 3" xfId="172" xr:uid="{00000000-0005-0000-0000-000093020000}"/>
    <cellStyle name="Normal 4 3 3 2" xfId="247" xr:uid="{00000000-0005-0000-0000-000094020000}"/>
    <cellStyle name="Normal 4 3 3 2 2" xfId="638" xr:uid="{00000000-0005-0000-0000-000095020000}"/>
    <cellStyle name="Normal 4 3 3 3" xfId="741" xr:uid="{00000000-0005-0000-0000-000096020000}"/>
    <cellStyle name="Normal 4 3 3 4" xfId="585" xr:uid="{00000000-0005-0000-0000-000097020000}"/>
    <cellStyle name="Normal 4 3 3 5" xfId="454" xr:uid="{00000000-0005-0000-0000-000098020000}"/>
    <cellStyle name="Normal 4 3 4" xfId="141" xr:uid="{00000000-0005-0000-0000-000099020000}"/>
    <cellStyle name="Normal 4 3 4 2" xfId="277" xr:uid="{00000000-0005-0000-0000-00009A020000}"/>
    <cellStyle name="Normal 4 3 4 2 2" xfId="710" xr:uid="{00000000-0005-0000-0000-00009B020000}"/>
    <cellStyle name="Normal 4 3 4 3" xfId="554" xr:uid="{00000000-0005-0000-0000-00009C020000}"/>
    <cellStyle name="Normal 4 3 4 4" xfId="423" xr:uid="{00000000-0005-0000-0000-00009D020000}"/>
    <cellStyle name="Normal 4 3 5" xfId="216" xr:uid="{00000000-0005-0000-0000-00009E020000}"/>
    <cellStyle name="Normal 4 3 5 2" xfId="607" xr:uid="{00000000-0005-0000-0000-00009F020000}"/>
    <cellStyle name="Normal 4 3 5 3" xfId="495" xr:uid="{00000000-0005-0000-0000-0000A0020000}"/>
    <cellStyle name="Normal 4 3 6" xfId="672" xr:uid="{00000000-0005-0000-0000-0000A1020000}"/>
    <cellStyle name="Normal 4 3 7" xfId="531" xr:uid="{00000000-0005-0000-0000-0000A2020000}"/>
    <cellStyle name="Normal 4 3 8" xfId="383" xr:uid="{00000000-0005-0000-0000-0000A3020000}"/>
    <cellStyle name="Normal 4 3_Consolidated" xfId="478" xr:uid="{00000000-0005-0000-0000-0000A4020000}"/>
    <cellStyle name="Normal 4 4" xfId="102" xr:uid="{00000000-0005-0000-0000-0000A5020000}"/>
    <cellStyle name="Normal 4 4 2" xfId="149" xr:uid="{00000000-0005-0000-0000-0000A6020000}"/>
    <cellStyle name="Normal 4 4 2 2" xfId="284" xr:uid="{00000000-0005-0000-0000-0000A7020000}"/>
    <cellStyle name="Normal 4 4 2 2 2" xfId="718" xr:uid="{00000000-0005-0000-0000-0000A8020000}"/>
    <cellStyle name="Normal 4 4 2 3" xfId="615" xr:uid="{00000000-0005-0000-0000-0000A9020000}"/>
    <cellStyle name="Normal 4 4 2 4" xfId="431" xr:uid="{00000000-0005-0000-0000-0000AA020000}"/>
    <cellStyle name="Normal 4 4 3" xfId="224" xr:uid="{00000000-0005-0000-0000-0000AB020000}"/>
    <cellStyle name="Normal 4 4 3 2" xfId="680" xr:uid="{00000000-0005-0000-0000-0000AC020000}"/>
    <cellStyle name="Normal 4 4 3 3" xfId="504" xr:uid="{00000000-0005-0000-0000-0000AD020000}"/>
    <cellStyle name="Normal 4 4 4" xfId="562" xr:uid="{00000000-0005-0000-0000-0000AE020000}"/>
    <cellStyle name="Normal 4 4 5" xfId="843" xr:uid="{00000000-0005-0000-0000-0000AF020000}"/>
    <cellStyle name="Normal 4 4 6" xfId="390" xr:uid="{00000000-0005-0000-0000-0000B0020000}"/>
    <cellStyle name="Normal 4 5" xfId="132" xr:uid="{00000000-0005-0000-0000-0000B1020000}"/>
    <cellStyle name="Normal 4 5 2" xfId="208" xr:uid="{00000000-0005-0000-0000-0000B2020000}"/>
    <cellStyle name="Normal 4 5 2 2" xfId="702" xr:uid="{00000000-0005-0000-0000-0000B3020000}"/>
    <cellStyle name="Normal 4 5 2 3" xfId="599" xr:uid="{00000000-0005-0000-0000-0000B4020000}"/>
    <cellStyle name="Normal 4 5 2 4" xfId="415" xr:uid="{00000000-0005-0000-0000-0000B5020000}"/>
    <cellStyle name="Normal 4 5 3" xfId="487" xr:uid="{00000000-0005-0000-0000-0000B6020000}"/>
    <cellStyle name="Normal 4 5 3 2" xfId="664" xr:uid="{00000000-0005-0000-0000-0000B7020000}"/>
    <cellStyle name="Normal 4 5 4" xfId="546" xr:uid="{00000000-0005-0000-0000-0000B8020000}"/>
    <cellStyle name="Normal 4 5 5" xfId="872" xr:uid="{00000000-0005-0000-0000-0000B9020000}"/>
    <cellStyle name="Normal 4 5 6" xfId="376" xr:uid="{00000000-0005-0000-0000-0000BA020000}"/>
    <cellStyle name="Normal 4 6" xfId="164" xr:uid="{00000000-0005-0000-0000-0000BB020000}"/>
    <cellStyle name="Normal 4 6 2" xfId="239" xr:uid="{00000000-0005-0000-0000-0000BC020000}"/>
    <cellStyle name="Normal 4 6 2 2" xfId="630" xr:uid="{00000000-0005-0000-0000-0000BD020000}"/>
    <cellStyle name="Normal 4 6 3" xfId="733" xr:uid="{00000000-0005-0000-0000-0000BE020000}"/>
    <cellStyle name="Normal 4 6 4" xfId="577" xr:uid="{00000000-0005-0000-0000-0000BF020000}"/>
    <cellStyle name="Normal 4 6 5" xfId="446" xr:uid="{00000000-0005-0000-0000-0000C0020000}"/>
    <cellStyle name="Normal 4 7" xfId="127" xr:uid="{00000000-0005-0000-0000-0000C1020000}"/>
    <cellStyle name="Normal 4 7 2" xfId="269" xr:uid="{00000000-0005-0000-0000-0000C2020000}"/>
    <cellStyle name="Normal 4 7 2 2" xfId="695" xr:uid="{00000000-0005-0000-0000-0000C3020000}"/>
    <cellStyle name="Normal 4 7 3" xfId="539" xr:uid="{00000000-0005-0000-0000-0000C4020000}"/>
    <cellStyle name="Normal 4 7 4" xfId="405" xr:uid="{00000000-0005-0000-0000-0000C5020000}"/>
    <cellStyle name="Normal 4 8" xfId="201" xr:uid="{00000000-0005-0000-0000-0000C6020000}"/>
    <cellStyle name="Normal 4 8 2" xfId="592" xr:uid="{00000000-0005-0000-0000-0000C7020000}"/>
    <cellStyle name="Normal 4 8 3" xfId="481" xr:uid="{00000000-0005-0000-0000-0000C8020000}"/>
    <cellStyle name="Normal 4 9" xfId="657" xr:uid="{00000000-0005-0000-0000-0000C9020000}"/>
    <cellStyle name="Normal 4_Consolidated" xfId="476" xr:uid="{00000000-0005-0000-0000-0000CA020000}"/>
    <cellStyle name="Normal 47" xfId="818" xr:uid="{00000000-0005-0000-0000-0000CB020000}"/>
    <cellStyle name="Normal 5" xfId="70" xr:uid="{00000000-0005-0000-0000-0000CC020000}"/>
    <cellStyle name="Normal 5 2" xfId="101" xr:uid="{00000000-0005-0000-0000-0000CD020000}"/>
    <cellStyle name="Normal 5 2 2" xfId="349" xr:uid="{00000000-0005-0000-0000-0000CE020000}"/>
    <cellStyle name="Normal 5 3" xfId="356" xr:uid="{00000000-0005-0000-0000-0000CF020000}"/>
    <cellStyle name="Normal 5 3 2" xfId="844" xr:uid="{00000000-0005-0000-0000-0000D0020000}"/>
    <cellStyle name="Normal 5 3 3" xfId="893" xr:uid="{00000000-0005-0000-0000-0000D1020000}"/>
    <cellStyle name="Normal 5 3 4" xfId="810" xr:uid="{00000000-0005-0000-0000-0000D2020000}"/>
    <cellStyle name="Normal 5 4" xfId="348" xr:uid="{00000000-0005-0000-0000-0000D3020000}"/>
    <cellStyle name="Normal 5 4 2" xfId="891" xr:uid="{00000000-0005-0000-0000-0000D4020000}"/>
    <cellStyle name="Normal 5 4 3" xfId="819" xr:uid="{00000000-0005-0000-0000-0000D5020000}"/>
    <cellStyle name="Normal 5 5" xfId="468" xr:uid="{00000000-0005-0000-0000-0000D6020000}"/>
    <cellStyle name="Normal 5 6" xfId="315" xr:uid="{00000000-0005-0000-0000-0000D7020000}"/>
    <cellStyle name="Normal 6" xfId="63" xr:uid="{00000000-0005-0000-0000-0000D8020000}"/>
    <cellStyle name="Normal 6 2" xfId="294" xr:uid="{00000000-0005-0000-0000-0000D9020000}"/>
    <cellStyle name="Normal 6 2 2" xfId="748" xr:uid="{00000000-0005-0000-0000-0000DA020000}"/>
    <cellStyle name="Normal 6 2 3" xfId="976" xr:uid="{00000000-0005-0000-0000-0000DB020000}"/>
    <cellStyle name="Normal 6 2 4" xfId="355" xr:uid="{00000000-0005-0000-0000-0000DC020000}"/>
    <cellStyle name="Normal 6 3" xfId="255" xr:uid="{00000000-0005-0000-0000-0000DD020000}"/>
    <cellStyle name="Normal 6 3 2" xfId="538" xr:uid="{00000000-0005-0000-0000-0000DE020000}"/>
    <cellStyle name="Normal 7" xfId="82" xr:uid="{00000000-0005-0000-0000-0000DF020000}"/>
    <cellStyle name="Normal 7 2" xfId="198" xr:uid="{00000000-0005-0000-0000-0000E0020000}"/>
    <cellStyle name="Normal 7 2 2" xfId="892" xr:uid="{00000000-0005-0000-0000-0000E1020000}"/>
    <cellStyle name="Normal 7 2 3" xfId="821" xr:uid="{00000000-0005-0000-0000-0000E2020000}"/>
    <cellStyle name="Normal 7 2 4" xfId="353" xr:uid="{00000000-0005-0000-0000-0000E3020000}"/>
    <cellStyle name="Normal 7 3" xfId="368" xr:uid="{00000000-0005-0000-0000-0000E4020000}"/>
    <cellStyle name="Normal 7 3 2" xfId="755" xr:uid="{00000000-0005-0000-0000-0000E5020000}"/>
    <cellStyle name="Normal 7 3 3" xfId="913" xr:uid="{00000000-0005-0000-0000-0000E6020000}"/>
    <cellStyle name="Normal 7 3 4" xfId="877" xr:uid="{00000000-0005-0000-0000-0000E7020000}"/>
    <cellStyle name="Normal 7 4" xfId="977" xr:uid="{00000000-0005-0000-0000-0000E8020000}"/>
    <cellStyle name="Normal 7 5" xfId="311" xr:uid="{00000000-0005-0000-0000-0000E9020000}"/>
    <cellStyle name="Normal 8" xfId="112" xr:uid="{00000000-0005-0000-0000-0000EA020000}"/>
    <cellStyle name="Normal 8 2" xfId="461" xr:uid="{00000000-0005-0000-0000-0000EB020000}"/>
    <cellStyle name="Normal 8 2 2" xfId="904" xr:uid="{00000000-0005-0000-0000-0000EC020000}"/>
    <cellStyle name="Normal 8 2 3" xfId="879" xr:uid="{00000000-0005-0000-0000-0000ED020000}"/>
    <cellStyle name="Normal 8 3" xfId="520" xr:uid="{00000000-0005-0000-0000-0000EE020000}"/>
    <cellStyle name="Normal 8 3 2" xfId="916" xr:uid="{00000000-0005-0000-0000-0000EF020000}"/>
    <cellStyle name="Normal 8 3 3" xfId="878" xr:uid="{00000000-0005-0000-0000-0000F0020000}"/>
    <cellStyle name="Normal 8 3 4" xfId="926" xr:uid="{00000000-0005-0000-0000-0000F1020000}"/>
    <cellStyle name="Normal 8 4" xfId="749" xr:uid="{00000000-0005-0000-0000-0000F2020000}"/>
    <cellStyle name="Normal 8 5" xfId="817" xr:uid="{00000000-0005-0000-0000-0000F3020000}"/>
    <cellStyle name="Normal 8 6" xfId="978" xr:uid="{00000000-0005-0000-0000-0000F4020000}"/>
    <cellStyle name="Normal 8 7" xfId="335" xr:uid="{00000000-0005-0000-0000-0000F5020000}"/>
    <cellStyle name="Normal 9" xfId="128" xr:uid="{00000000-0005-0000-0000-0000F6020000}"/>
    <cellStyle name="Normal 9 2" xfId="465" xr:uid="{00000000-0005-0000-0000-0000F7020000}"/>
    <cellStyle name="Normal 9 3" xfId="756" xr:uid="{00000000-0005-0000-0000-0000F8020000}"/>
    <cellStyle name="Normal 9 4" xfId="914" xr:uid="{00000000-0005-0000-0000-0000F9020000}"/>
    <cellStyle name="Normal 9 5" xfId="979" xr:uid="{00000000-0005-0000-0000-0000FA020000}"/>
    <cellStyle name="Normal 9 6" xfId="373" xr:uid="{00000000-0005-0000-0000-0000FB020000}"/>
    <cellStyle name="Normal_CCP PowerPlan Report_1" xfId="991" xr:uid="{C2F836C5-7205-40D6-B6B4-E94DE567111B}"/>
    <cellStyle name="Normal_Common" xfId="989" xr:uid="{00000000-0005-0000-0000-0000FC020000}"/>
    <cellStyle name="Normal_Common PowerPlan Report" xfId="990" xr:uid="{00000000-0005-0000-0000-0000FD020000}"/>
    <cellStyle name="Normal_M01 Budget 1Q2014" xfId="108" xr:uid="{00000000-0005-0000-0000-0000FF020000}"/>
    <cellStyle name="Note 2" xfId="69" xr:uid="{00000000-0005-0000-0000-000000030000}"/>
    <cellStyle name="Note 2 2" xfId="980" xr:uid="{00000000-0005-0000-0000-000001030000}"/>
    <cellStyle name="Note 2 3" xfId="360" xr:uid="{00000000-0005-0000-0000-000002030000}"/>
    <cellStyle name="Note 3" xfId="88" xr:uid="{00000000-0005-0000-0000-000003030000}"/>
    <cellStyle name="Note 3 2" xfId="981" xr:uid="{00000000-0005-0000-0000-000004030000}"/>
    <cellStyle name="Note 4" xfId="758" xr:uid="{00000000-0005-0000-0000-000005030000}"/>
    <cellStyle name="Output" xfId="32" builtinId="21" customBuiltin="1"/>
    <cellStyle name="Percent 2" xfId="4" xr:uid="{00000000-0005-0000-0000-000007030000}"/>
    <cellStyle name="Percent 2 2" xfId="777" xr:uid="{00000000-0005-0000-0000-000008030000}"/>
    <cellStyle name="Percent 2 3" xfId="845" xr:uid="{00000000-0005-0000-0000-000009030000}"/>
    <cellStyle name="Percent 2 4" xfId="874" xr:uid="{00000000-0005-0000-0000-00000A030000}"/>
    <cellStyle name="Percent 2 5" xfId="775" xr:uid="{00000000-0005-0000-0000-00000B030000}"/>
    <cellStyle name="Percent 3" xfId="11" xr:uid="{00000000-0005-0000-0000-00000C030000}"/>
    <cellStyle name="Percent 3 10" xfId="982" xr:uid="{00000000-0005-0000-0000-00000D030000}"/>
    <cellStyle name="Percent 3 11" xfId="316" xr:uid="{00000000-0005-0000-0000-00000E030000}"/>
    <cellStyle name="Percent 3 2" xfId="73" xr:uid="{00000000-0005-0000-0000-00000F030000}"/>
    <cellStyle name="Percent 3 2 2" xfId="159" xr:uid="{00000000-0005-0000-0000-000010030000}"/>
    <cellStyle name="Percent 3 2 2 2" xfId="299" xr:uid="{00000000-0005-0000-0000-000011030000}"/>
    <cellStyle name="Percent 3 2 2 2 2" xfId="728" xr:uid="{00000000-0005-0000-0000-000012030000}"/>
    <cellStyle name="Percent 3 2 2 2 3" xfId="625" xr:uid="{00000000-0005-0000-0000-000013030000}"/>
    <cellStyle name="Percent 3 2 2 2 4" xfId="441" xr:uid="{00000000-0005-0000-0000-000014030000}"/>
    <cellStyle name="Percent 3 2 2 3" xfId="234" xr:uid="{00000000-0005-0000-0000-000015030000}"/>
    <cellStyle name="Percent 3 2 2 3 2" xfId="690" xr:uid="{00000000-0005-0000-0000-000016030000}"/>
    <cellStyle name="Percent 3 2 2 3 3" xfId="514" xr:uid="{00000000-0005-0000-0000-000017030000}"/>
    <cellStyle name="Percent 3 2 2 4" xfId="572" xr:uid="{00000000-0005-0000-0000-000018030000}"/>
    <cellStyle name="Percent 3 2 2 5" xfId="400" xr:uid="{00000000-0005-0000-0000-000019030000}"/>
    <cellStyle name="Percent 3 2 3" xfId="174" xr:uid="{00000000-0005-0000-0000-00001A030000}"/>
    <cellStyle name="Percent 3 2 3 2" xfId="249" xr:uid="{00000000-0005-0000-0000-00001B030000}"/>
    <cellStyle name="Percent 3 2 3 2 2" xfId="640" xr:uid="{00000000-0005-0000-0000-00001C030000}"/>
    <cellStyle name="Percent 3 2 3 3" xfId="743" xr:uid="{00000000-0005-0000-0000-00001D030000}"/>
    <cellStyle name="Percent 3 2 3 4" xfId="587" xr:uid="{00000000-0005-0000-0000-00001E030000}"/>
    <cellStyle name="Percent 3 2 3 5" xfId="456" xr:uid="{00000000-0005-0000-0000-00001F030000}"/>
    <cellStyle name="Percent 3 2 4" xfId="143" xr:uid="{00000000-0005-0000-0000-000020030000}"/>
    <cellStyle name="Percent 3 2 4 2" xfId="279" xr:uid="{00000000-0005-0000-0000-000021030000}"/>
    <cellStyle name="Percent 3 2 4 2 2" xfId="712" xr:uid="{00000000-0005-0000-0000-000022030000}"/>
    <cellStyle name="Percent 3 2 4 3" xfId="556" xr:uid="{00000000-0005-0000-0000-000023030000}"/>
    <cellStyle name="Percent 3 2 4 4" xfId="425" xr:uid="{00000000-0005-0000-0000-000024030000}"/>
    <cellStyle name="Percent 3 2 5" xfId="218" xr:uid="{00000000-0005-0000-0000-000025030000}"/>
    <cellStyle name="Percent 3 2 5 2" xfId="609" xr:uid="{00000000-0005-0000-0000-000026030000}"/>
    <cellStyle name="Percent 3 2 5 3" xfId="497" xr:uid="{00000000-0005-0000-0000-000027030000}"/>
    <cellStyle name="Percent 3 2 6" xfId="674" xr:uid="{00000000-0005-0000-0000-000028030000}"/>
    <cellStyle name="Percent 3 2 7" xfId="533" xr:uid="{00000000-0005-0000-0000-000029030000}"/>
    <cellStyle name="Percent 3 2 8" xfId="350" xr:uid="{00000000-0005-0000-0000-00002A030000}"/>
    <cellStyle name="Percent 3 3" xfId="104" xr:uid="{00000000-0005-0000-0000-00002B030000}"/>
    <cellStyle name="Percent 3 3 2" xfId="151" xr:uid="{00000000-0005-0000-0000-00002C030000}"/>
    <cellStyle name="Percent 3 3 2 2" xfId="286" xr:uid="{00000000-0005-0000-0000-00002D030000}"/>
    <cellStyle name="Percent 3 3 2 2 2" xfId="720" xr:uid="{00000000-0005-0000-0000-00002E030000}"/>
    <cellStyle name="Percent 3 3 2 3" xfId="617" xr:uid="{00000000-0005-0000-0000-00002F030000}"/>
    <cellStyle name="Percent 3 3 2 4" xfId="433" xr:uid="{00000000-0005-0000-0000-000030030000}"/>
    <cellStyle name="Percent 3 3 3" xfId="226" xr:uid="{00000000-0005-0000-0000-000031030000}"/>
    <cellStyle name="Percent 3 3 3 2" xfId="682" xr:uid="{00000000-0005-0000-0000-000032030000}"/>
    <cellStyle name="Percent 3 3 3 3" xfId="506" xr:uid="{00000000-0005-0000-0000-000033030000}"/>
    <cellStyle name="Percent 3 3 4" xfId="564" xr:uid="{00000000-0005-0000-0000-000034030000}"/>
    <cellStyle name="Percent 3 3 5" xfId="392" xr:uid="{00000000-0005-0000-0000-000035030000}"/>
    <cellStyle name="Percent 3 4" xfId="134" xr:uid="{00000000-0005-0000-0000-000036030000}"/>
    <cellStyle name="Percent 3 4 2" xfId="210" xr:uid="{00000000-0005-0000-0000-000037030000}"/>
    <cellStyle name="Percent 3 4 2 2" xfId="704" xr:uid="{00000000-0005-0000-0000-000038030000}"/>
    <cellStyle name="Percent 3 4 2 3" xfId="601" xr:uid="{00000000-0005-0000-0000-000039030000}"/>
    <cellStyle name="Percent 3 4 2 4" xfId="417" xr:uid="{00000000-0005-0000-0000-00003A030000}"/>
    <cellStyle name="Percent 3 4 3" xfId="489" xr:uid="{00000000-0005-0000-0000-00003B030000}"/>
    <cellStyle name="Percent 3 4 3 2" xfId="666" xr:uid="{00000000-0005-0000-0000-00003C030000}"/>
    <cellStyle name="Percent 3 4 4" xfId="548" xr:uid="{00000000-0005-0000-0000-00003D030000}"/>
    <cellStyle name="Percent 3 4 5" xfId="378" xr:uid="{00000000-0005-0000-0000-00003E030000}"/>
    <cellStyle name="Percent 3 5" xfId="166" xr:uid="{00000000-0005-0000-0000-00003F030000}"/>
    <cellStyle name="Percent 3 5 2" xfId="241" xr:uid="{00000000-0005-0000-0000-000040030000}"/>
    <cellStyle name="Percent 3 5 2 2" xfId="632" xr:uid="{00000000-0005-0000-0000-000041030000}"/>
    <cellStyle name="Percent 3 5 3" xfId="735" xr:uid="{00000000-0005-0000-0000-000042030000}"/>
    <cellStyle name="Percent 3 5 4" xfId="579" xr:uid="{00000000-0005-0000-0000-000043030000}"/>
    <cellStyle name="Percent 3 5 5" xfId="448" xr:uid="{00000000-0005-0000-0000-000044030000}"/>
    <cellStyle name="Percent 3 6" xfId="125" xr:uid="{00000000-0005-0000-0000-000045030000}"/>
    <cellStyle name="Percent 3 6 2" xfId="271" xr:uid="{00000000-0005-0000-0000-000046030000}"/>
    <cellStyle name="Percent 3 6 2 2" xfId="697" xr:uid="{00000000-0005-0000-0000-000047030000}"/>
    <cellStyle name="Percent 3 6 3" xfId="541" xr:uid="{00000000-0005-0000-0000-000048030000}"/>
    <cellStyle name="Percent 3 6 4" xfId="407" xr:uid="{00000000-0005-0000-0000-000049030000}"/>
    <cellStyle name="Percent 3 7" xfId="203" xr:uid="{00000000-0005-0000-0000-00004A030000}"/>
    <cellStyle name="Percent 3 7 2" xfId="594" xr:uid="{00000000-0005-0000-0000-00004B030000}"/>
    <cellStyle name="Percent 3 7 3" xfId="889" xr:uid="{00000000-0005-0000-0000-00004C030000}"/>
    <cellStyle name="Percent 3 7 4" xfId="923" xr:uid="{00000000-0005-0000-0000-00004D030000}"/>
    <cellStyle name="Percent 3 7 5" xfId="483" xr:uid="{00000000-0005-0000-0000-00004E030000}"/>
    <cellStyle name="Percent 3 8" xfId="659" xr:uid="{00000000-0005-0000-0000-00004F030000}"/>
    <cellStyle name="Percent 3 9" xfId="524" xr:uid="{00000000-0005-0000-0000-000050030000}"/>
    <cellStyle name="Percent 4" xfId="65" xr:uid="{00000000-0005-0000-0000-000051030000}"/>
    <cellStyle name="Percent 4 2" xfId="259" xr:uid="{00000000-0005-0000-0000-000052030000}"/>
    <cellStyle name="Percent 4 2 2" xfId="846" xr:uid="{00000000-0005-0000-0000-000053030000}"/>
    <cellStyle name="Percent 4 2 3" xfId="927" xr:uid="{00000000-0005-0000-0000-000054030000}"/>
    <cellStyle name="Percent 4 2 4" xfId="521" xr:uid="{00000000-0005-0000-0000-000055030000}"/>
    <cellStyle name="Percent 4 3" xfId="470" xr:uid="{00000000-0005-0000-0000-000056030000}"/>
    <cellStyle name="Percent 4 3 2" xfId="915" xr:uid="{00000000-0005-0000-0000-000057030000}"/>
    <cellStyle name="Percent 4 3 3" xfId="922" xr:uid="{00000000-0005-0000-0000-000058030000}"/>
    <cellStyle name="Percent 4 4" xfId="757" xr:uid="{00000000-0005-0000-0000-000059030000}"/>
    <cellStyle name="Percent 4 5" xfId="464" xr:uid="{00000000-0005-0000-0000-00005A030000}"/>
    <cellStyle name="Percent 5" xfId="84" xr:uid="{00000000-0005-0000-0000-00005B030000}"/>
    <cellStyle name="Percent 5 2" xfId="199" xr:uid="{00000000-0005-0000-0000-00005C030000}"/>
    <cellStyle name="Percent 5 3" xfId="804" xr:uid="{00000000-0005-0000-0000-00005D030000}"/>
    <cellStyle name="Percent 6" xfId="314" xr:uid="{00000000-0005-0000-0000-00005E030000}"/>
    <cellStyle name="Percent 7" xfId="983" xr:uid="{00000000-0005-0000-0000-00005F030000}"/>
    <cellStyle name="STYLE1" xfId="5" xr:uid="{00000000-0005-0000-0000-000060030000}"/>
    <cellStyle name="STYLE1 2" xfId="116" xr:uid="{00000000-0005-0000-0000-000061030000}"/>
    <cellStyle name="STYLE1 2 2" xfId="260" xr:uid="{00000000-0005-0000-0000-000062030000}"/>
    <cellStyle name="STYLE1 2 3" xfId="869" xr:uid="{00000000-0005-0000-0000-000063030000}"/>
    <cellStyle name="STYLE1 2 4" xfId="853" xr:uid="{00000000-0005-0000-0000-000064030000}"/>
    <cellStyle name="STYLE1 2 5" xfId="317" xr:uid="{00000000-0005-0000-0000-000065030000}"/>
    <cellStyle name="STYLE1 3" xfId="185" xr:uid="{00000000-0005-0000-0000-000066030000}"/>
    <cellStyle name="STYLE1 3 2" xfId="645" xr:uid="{00000000-0005-0000-0000-000067030000}"/>
    <cellStyle name="STYLE1 3 3" xfId="909" xr:uid="{00000000-0005-0000-0000-000068030000}"/>
    <cellStyle name="STYLE1 3 4" xfId="780" xr:uid="{00000000-0005-0000-0000-000069030000}"/>
    <cellStyle name="STYLE1 3 5" xfId="364" xr:uid="{00000000-0005-0000-0000-00006A030000}"/>
    <cellStyle name="STYLE1 4" xfId="759" xr:uid="{00000000-0005-0000-0000-00006B030000}"/>
    <cellStyle name="STYLE1 4 2" xfId="847" xr:uid="{00000000-0005-0000-0000-00006C030000}"/>
    <cellStyle name="STYLE1 5" xfId="807" xr:uid="{00000000-0005-0000-0000-00006D030000}"/>
    <cellStyle name="STYLE1 6" xfId="882" xr:uid="{00000000-0005-0000-0000-00006E030000}"/>
    <cellStyle name="STYLE1 6 2" xfId="939" xr:uid="{00000000-0005-0000-0000-00006F030000}"/>
    <cellStyle name="STYLE1_1Q2015 Import Prep" xfId="370" xr:uid="{00000000-0005-0000-0000-000070030000}"/>
    <cellStyle name="STYLE2" xfId="6" xr:uid="{00000000-0005-0000-0000-000071030000}"/>
    <cellStyle name="STYLE2 2" xfId="117" xr:uid="{00000000-0005-0000-0000-000072030000}"/>
    <cellStyle name="STYLE2 2 2" xfId="410" xr:uid="{00000000-0005-0000-0000-000073030000}"/>
    <cellStyle name="STYLE2 2 3" xfId="854" xr:uid="{00000000-0005-0000-0000-000074030000}"/>
    <cellStyle name="STYLE2 2 4" xfId="318" xr:uid="{00000000-0005-0000-0000-000075030000}"/>
    <cellStyle name="STYLE2 3" xfId="186" xr:uid="{00000000-0005-0000-0000-000076030000}"/>
    <cellStyle name="STYLE2 3 2" xfId="646" xr:uid="{00000000-0005-0000-0000-000077030000}"/>
    <cellStyle name="STYLE2 3 3" xfId="910" xr:uid="{00000000-0005-0000-0000-000078030000}"/>
    <cellStyle name="STYLE2 3 4" xfId="781" xr:uid="{00000000-0005-0000-0000-000079030000}"/>
    <cellStyle name="STYLE2 3 5" xfId="365" xr:uid="{00000000-0005-0000-0000-00007A030000}"/>
    <cellStyle name="STYLE2 4" xfId="760" xr:uid="{00000000-0005-0000-0000-00007B030000}"/>
    <cellStyle name="STYLE2 5" xfId="883" xr:uid="{00000000-0005-0000-0000-00007C030000}"/>
    <cellStyle name="STYLE2 5 2" xfId="940" xr:uid="{00000000-0005-0000-0000-00007D030000}"/>
    <cellStyle name="STYLE2 6" xfId="884" xr:uid="{00000000-0005-0000-0000-00007E030000}"/>
    <cellStyle name="STYLE2 6 2" xfId="941" xr:uid="{00000000-0005-0000-0000-00007F030000}"/>
    <cellStyle name="STYLE2_1Q2015 Import Prep" xfId="371" xr:uid="{00000000-0005-0000-0000-000080030000}"/>
    <cellStyle name="STYLE3" xfId="7" xr:uid="{00000000-0005-0000-0000-000081030000}"/>
    <cellStyle name="STYLE3 2" xfId="118" xr:uid="{00000000-0005-0000-0000-000082030000}"/>
    <cellStyle name="STYLE3 2 2" xfId="409" xr:uid="{00000000-0005-0000-0000-000083030000}"/>
    <cellStyle name="STYLE3 2 3" xfId="855" xr:uid="{00000000-0005-0000-0000-000084030000}"/>
    <cellStyle name="STYLE3 2 4" xfId="319" xr:uid="{00000000-0005-0000-0000-000085030000}"/>
    <cellStyle name="STYLE3 3" xfId="187" xr:uid="{00000000-0005-0000-0000-000086030000}"/>
    <cellStyle name="STYLE3 3 2" xfId="647" xr:uid="{00000000-0005-0000-0000-000087030000}"/>
    <cellStyle name="STYLE3 3 3" xfId="911" xr:uid="{00000000-0005-0000-0000-000088030000}"/>
    <cellStyle name="STYLE3 3 4" xfId="782" xr:uid="{00000000-0005-0000-0000-000089030000}"/>
    <cellStyle name="STYLE3 3 5" xfId="366" xr:uid="{00000000-0005-0000-0000-00008A030000}"/>
    <cellStyle name="STYLE3 4" xfId="761" xr:uid="{00000000-0005-0000-0000-00008B030000}"/>
    <cellStyle name="STYLE3 5" xfId="885" xr:uid="{00000000-0005-0000-0000-00008C030000}"/>
    <cellStyle name="STYLE3 5 2" xfId="942" xr:uid="{00000000-0005-0000-0000-00008D030000}"/>
    <cellStyle name="STYLE3 6" xfId="886" xr:uid="{00000000-0005-0000-0000-00008E030000}"/>
    <cellStyle name="STYLE3 6 2" xfId="943" xr:uid="{00000000-0005-0000-0000-00008F030000}"/>
    <cellStyle name="STYLE3_1Q2015 Import Prep" xfId="372" xr:uid="{00000000-0005-0000-0000-000090030000}"/>
    <cellStyle name="STYLE4" xfId="8" xr:uid="{00000000-0005-0000-0000-000091030000}"/>
    <cellStyle name="STYLE4 2" xfId="75" xr:uid="{00000000-0005-0000-0000-000092030000}"/>
    <cellStyle name="STYLE4 2 2" xfId="652" xr:uid="{00000000-0005-0000-0000-000093030000}"/>
    <cellStyle name="STYLE4 2 2 2" xfId="785" xr:uid="{00000000-0005-0000-0000-000094030000}"/>
    <cellStyle name="STYLE4 2 2 3" xfId="934" xr:uid="{00000000-0005-0000-0000-000095030000}"/>
    <cellStyle name="STYLE4 2 3" xfId="848" xr:uid="{00000000-0005-0000-0000-000096030000}"/>
    <cellStyle name="STYLE4 2 4" xfId="870" xr:uid="{00000000-0005-0000-0000-000097030000}"/>
    <cellStyle name="STYLE4 2 5" xfId="856" xr:uid="{00000000-0005-0000-0000-000098030000}"/>
    <cellStyle name="STYLE4 3" xfId="119" xr:uid="{00000000-0005-0000-0000-000099030000}"/>
    <cellStyle name="STYLE4 3 2" xfId="261" xr:uid="{00000000-0005-0000-0000-00009A030000}"/>
    <cellStyle name="STYLE4 3 3" xfId="354" xr:uid="{00000000-0005-0000-0000-00009B030000}"/>
    <cellStyle name="STYLE4 4" xfId="188" xr:uid="{00000000-0005-0000-0000-00009C030000}"/>
    <cellStyle name="STYLE4 4 2" xfId="754" xr:uid="{00000000-0005-0000-0000-00009D030000}"/>
    <cellStyle name="STYLE4 4 3" xfId="912" xr:uid="{00000000-0005-0000-0000-00009E030000}"/>
    <cellStyle name="STYLE4 4 4" xfId="367" xr:uid="{00000000-0005-0000-0000-00009F030000}"/>
    <cellStyle name="STYLE4 5" xfId="808" xr:uid="{00000000-0005-0000-0000-0000A0030000}"/>
    <cellStyle name="STYLE4 6" xfId="862" xr:uid="{00000000-0005-0000-0000-0000A1030000}"/>
    <cellStyle name="STYLE4 7" xfId="887" xr:uid="{00000000-0005-0000-0000-0000A2030000}"/>
    <cellStyle name="STYLE4 7 2" xfId="944" xr:uid="{00000000-0005-0000-0000-0000A3030000}"/>
    <cellStyle name="STYLE4_1Q2015 Import Prep" xfId="351" xr:uid="{00000000-0005-0000-0000-0000A4030000}"/>
    <cellStyle name="STYLE5" xfId="9" xr:uid="{00000000-0005-0000-0000-0000A5030000}"/>
    <cellStyle name="STYLE5 2" xfId="76" xr:uid="{00000000-0005-0000-0000-0000A6030000}"/>
    <cellStyle name="STYLE5 2 2" xfId="653" xr:uid="{00000000-0005-0000-0000-0000A7030000}"/>
    <cellStyle name="STYLE5 2 2 2" xfId="786" xr:uid="{00000000-0005-0000-0000-0000A8030000}"/>
    <cellStyle name="STYLE5 2 2 3" xfId="935" xr:uid="{00000000-0005-0000-0000-0000A9030000}"/>
    <cellStyle name="STYLE5 2 3" xfId="849" xr:uid="{00000000-0005-0000-0000-0000AA030000}"/>
    <cellStyle name="STYLE5 2 4" xfId="871" xr:uid="{00000000-0005-0000-0000-0000AB030000}"/>
    <cellStyle name="STYLE5 2 5" xfId="857" xr:uid="{00000000-0005-0000-0000-0000AC030000}"/>
    <cellStyle name="STYLE5 2 6" xfId="771" xr:uid="{00000000-0005-0000-0000-0000AD030000}"/>
    <cellStyle name="STYLE5 3" xfId="120" xr:uid="{00000000-0005-0000-0000-0000AE030000}"/>
    <cellStyle name="STYLE5 3 2" xfId="262" xr:uid="{00000000-0005-0000-0000-0000AF030000}"/>
    <cellStyle name="STYLE5 3 3" xfId="352" xr:uid="{00000000-0005-0000-0000-0000B0030000}"/>
    <cellStyle name="STYLE5 4" xfId="189" xr:uid="{00000000-0005-0000-0000-0000B1030000}"/>
    <cellStyle name="STYLE5 4 2" xfId="850" xr:uid="{00000000-0005-0000-0000-0000B2030000}"/>
    <cellStyle name="STYLE5 4 3" xfId="762" xr:uid="{00000000-0005-0000-0000-0000B3030000}"/>
    <cellStyle name="STYLE5 5" xfId="809" xr:uid="{00000000-0005-0000-0000-0000B4030000}"/>
    <cellStyle name="STYLE5 6" xfId="863" xr:uid="{00000000-0005-0000-0000-0000B5030000}"/>
    <cellStyle name="STYLE5 7" xfId="888" xr:uid="{00000000-0005-0000-0000-0000B6030000}"/>
    <cellStyle name="STYLE5 7 2" xfId="945" xr:uid="{00000000-0005-0000-0000-0000B7030000}"/>
    <cellStyle name="STYLE5 8" xfId="984" xr:uid="{00000000-0005-0000-0000-0000B8030000}"/>
    <cellStyle name="STYLE5 9" xfId="309" xr:uid="{00000000-0005-0000-0000-0000B9030000}"/>
    <cellStyle name="STYLE5_By BoD Line Item" xfId="790" xr:uid="{00000000-0005-0000-0000-0000BA030000}"/>
    <cellStyle name="STYLE6" xfId="15" xr:uid="{00000000-0005-0000-0000-0000BB030000}"/>
    <cellStyle name="STYLE6 2" xfId="121" xr:uid="{00000000-0005-0000-0000-0000BC030000}"/>
    <cellStyle name="STYLE6 2 2" xfId="263" xr:uid="{00000000-0005-0000-0000-0000BD030000}"/>
    <cellStyle name="STYLE6 2 3" xfId="320" xr:uid="{00000000-0005-0000-0000-0000BE030000}"/>
    <cellStyle name="STYLE6 3" xfId="190" xr:uid="{00000000-0005-0000-0000-0000BF030000}"/>
    <cellStyle name="STYLE6 3 2" xfId="763" xr:uid="{00000000-0005-0000-0000-0000C0030000}"/>
    <cellStyle name="STYLE6 3 3" xfId="929" xr:uid="{00000000-0005-0000-0000-0000C1030000}"/>
    <cellStyle name="STYLE6 3 4" xfId="648" xr:uid="{00000000-0005-0000-0000-0000C2030000}"/>
    <cellStyle name="STYLE6 4" xfId="820" xr:uid="{00000000-0005-0000-0000-0000C3030000}"/>
    <cellStyle name="STYLE6 5" xfId="851" xr:uid="{00000000-0005-0000-0000-0000C4030000}"/>
    <cellStyle name="STYLE6 6" xfId="985" xr:uid="{00000000-0005-0000-0000-0000C5030000}"/>
    <cellStyle name="STYLE6 7" xfId="310" xr:uid="{00000000-0005-0000-0000-0000C6030000}"/>
    <cellStyle name="STYLE6_Info. Technology" xfId="789" xr:uid="{00000000-0005-0000-0000-0000C7030000}"/>
    <cellStyle name="STYLE7" xfId="109" xr:uid="{00000000-0005-0000-0000-0000C8030000}"/>
    <cellStyle name="STYLE7 2" xfId="122" xr:uid="{00000000-0005-0000-0000-0000C9030000}"/>
    <cellStyle name="STYLE7 2 2" xfId="264" xr:uid="{00000000-0005-0000-0000-0000CA030000}"/>
    <cellStyle name="STYLE7 3" xfId="191" xr:uid="{00000000-0005-0000-0000-0000CB030000}"/>
    <cellStyle name="STYLE7 3 2" xfId="900" xr:uid="{00000000-0005-0000-0000-0000CC030000}"/>
    <cellStyle name="STYLE7 3 3" xfId="930" xr:uid="{00000000-0005-0000-0000-0000CD030000}"/>
    <cellStyle name="STYLE7 3 4" xfId="649" xr:uid="{00000000-0005-0000-0000-0000CE030000}"/>
    <cellStyle name="STYLE7 4" xfId="816" xr:uid="{00000000-0005-0000-0000-0000CF030000}"/>
    <cellStyle name="STYLE7_M01 Budget 4Q2014" xfId="194" xr:uid="{00000000-0005-0000-0000-0000D0030000}"/>
    <cellStyle name="STYLE8" xfId="110" xr:uid="{00000000-0005-0000-0000-0000D1030000}"/>
    <cellStyle name="STYLE8 2" xfId="123" xr:uid="{00000000-0005-0000-0000-0000D2030000}"/>
    <cellStyle name="STYLE8 2 2" xfId="265" xr:uid="{00000000-0005-0000-0000-0000D3030000}"/>
    <cellStyle name="STYLE8 3" xfId="192" xr:uid="{00000000-0005-0000-0000-0000D4030000}"/>
    <cellStyle name="STYLE8 3 2" xfId="901" xr:uid="{00000000-0005-0000-0000-0000D5030000}"/>
    <cellStyle name="STYLE8 3 3" xfId="931" xr:uid="{00000000-0005-0000-0000-0000D6030000}"/>
    <cellStyle name="STYLE8 3 4" xfId="650" xr:uid="{00000000-0005-0000-0000-0000D7030000}"/>
    <cellStyle name="STYLE8_M01 Budget 4Q2014" xfId="195" xr:uid="{00000000-0005-0000-0000-0000D8030000}"/>
    <cellStyle name="STYLE9" xfId="193" xr:uid="{00000000-0005-0000-0000-0000D9030000}"/>
    <cellStyle name="STYLE9 2" xfId="266" xr:uid="{00000000-0005-0000-0000-0000DA030000}"/>
    <cellStyle name="STYLE9 2 2" xfId="654" xr:uid="{00000000-0005-0000-0000-0000DB030000}"/>
    <cellStyle name="STYLE9 3" xfId="254" xr:uid="{00000000-0005-0000-0000-0000DC030000}"/>
    <cellStyle name="Title" xfId="23" builtinId="15" customBuiltin="1"/>
    <cellStyle name="Total" xfId="38" builtinId="25" customBuiltin="1"/>
    <cellStyle name="Warning Text" xfId="36" builtinId="11" customBuiltin="1"/>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480391</xdr:colOff>
      <xdr:row>8</xdr:row>
      <xdr:rowOff>99391</xdr:rowOff>
    </xdr:from>
    <xdr:to>
      <xdr:col>25</xdr:col>
      <xdr:colOff>502062</xdr:colOff>
      <xdr:row>24</xdr:row>
      <xdr:rowOff>8283</xdr:rowOff>
    </xdr:to>
    <xdr:pic>
      <xdr:nvPicPr>
        <xdr:cNvPr id="2" name="Picture 1">
          <a:extLst>
            <a:ext uri="{FF2B5EF4-FFF2-40B4-BE49-F238E27FC236}">
              <a16:creationId xmlns:a16="http://schemas.microsoft.com/office/drawing/2014/main" id="{03ABB4EF-2B08-4277-891A-E4629608D80F}"/>
            </a:ext>
          </a:extLst>
        </xdr:cNvPr>
        <xdr:cNvPicPr>
          <a:picLocks noChangeAspect="1"/>
        </xdr:cNvPicPr>
      </xdr:nvPicPr>
      <xdr:blipFill>
        <a:blip xmlns:r="http://schemas.openxmlformats.org/officeDocument/2006/relationships" r:embed="rId1"/>
        <a:stretch>
          <a:fillRect/>
        </a:stretch>
      </xdr:blipFill>
      <xdr:spPr>
        <a:xfrm>
          <a:off x="12109174" y="1350065"/>
          <a:ext cx="6979062" cy="229428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tastore.usac.loc\datastore\Private\Finance\Financial%20Planning%20and%20Analysis\03_Internal%20Reporting\BOD%20Reports_Filing%20Prep\Budget%20&amp;%20Actual%20Board%20Paper%20Input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atastore.usac.loc\datastore\Private\Finance\Financial%20Planning%20and%20Analysis\03_Internal%20Reporting\BOD%20Reports_Filing%20Prep\Budget%20&amp;%20Actual%20Board%20Paper%20Inputs%203Q2023%203%2017%2020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atastore.usac.loc\Datastore\Private\Finance\Financial%20Planning%20and%20Analysis\03_Internal%20Reporting\BOD%20Reports_Filing%20Prep\Budget%20&amp;%20Actual%20Board%20Paper%20Inputs\Budget%20&amp;%20Actual%20Board%20Paper%20Inputs%204Q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ard Paper Inputs"/>
      <sheetName val="Demand Filing Admin Exp Table"/>
      <sheetName val="Headcount dwnld"/>
      <sheetName val="2024 PowerPlan Budget 1"/>
      <sheetName val="2024 PowerPlan Budget 2"/>
      <sheetName val="2023 Actuals Tables"/>
      <sheetName val="2023 Actuals dwnld"/>
      <sheetName val="2024 Budget Tables"/>
      <sheetName val="2023 Budget Tables"/>
      <sheetName val="2023 PowerPlan Budget 2"/>
      <sheetName val="2023 PowerPlan Budget 1"/>
      <sheetName val="Reference"/>
      <sheetName val="2022 Budget Tables"/>
      <sheetName val="2022 Actuals Tables"/>
      <sheetName val="2023 PowerPlan Budget"/>
      <sheetName val="2022 PowerPlan Budget 3"/>
      <sheetName val="2022 PowerPlan Budget 2"/>
      <sheetName val="2022 Actuals dwnld"/>
      <sheetName val="2022 PowerPlan Budget dwnld"/>
      <sheetName val="2022 PowerPlan Budget dwnld (2"/>
    </sheetNames>
    <sheetDataSet>
      <sheetData sheetId="0" refreshError="1"/>
      <sheetData sheetId="1" refreshError="1"/>
      <sheetData sheetId="2" refreshError="1"/>
      <sheetData sheetId="3"/>
      <sheetData sheetId="4"/>
      <sheetData sheetId="5"/>
      <sheetData sheetId="6"/>
      <sheetData sheetId="7">
        <row r="12">
          <cell r="C12"/>
        </row>
      </sheetData>
      <sheetData sheetId="8" refreshError="1">
        <row r="12">
          <cell r="C12">
            <v>15.66</v>
          </cell>
          <cell r="D12">
            <v>15.76</v>
          </cell>
        </row>
        <row r="13">
          <cell r="D13">
            <v>9.1300000000000008</v>
          </cell>
        </row>
        <row r="14">
          <cell r="D14">
            <v>9.01</v>
          </cell>
        </row>
        <row r="15">
          <cell r="D15">
            <v>33.9</v>
          </cell>
        </row>
        <row r="20">
          <cell r="D20">
            <v>2.0099999999999998</v>
          </cell>
        </row>
        <row r="21">
          <cell r="D21">
            <v>7.05</v>
          </cell>
        </row>
        <row r="22">
          <cell r="D22">
            <v>0</v>
          </cell>
        </row>
        <row r="25">
          <cell r="D25">
            <v>0.73</v>
          </cell>
        </row>
        <row r="26">
          <cell r="D26">
            <v>2.35</v>
          </cell>
        </row>
        <row r="27">
          <cell r="D27">
            <v>0.66</v>
          </cell>
        </row>
        <row r="30">
          <cell r="D30">
            <v>10.36</v>
          </cell>
        </row>
        <row r="31">
          <cell r="D31">
            <v>23.159999999999997</v>
          </cell>
        </row>
        <row r="35">
          <cell r="D35">
            <v>1.7</v>
          </cell>
        </row>
        <row r="36">
          <cell r="D36">
            <v>0.81</v>
          </cell>
        </row>
        <row r="37">
          <cell r="D37">
            <v>0</v>
          </cell>
        </row>
        <row r="40">
          <cell r="D40">
            <v>0.68</v>
          </cell>
        </row>
        <row r="41">
          <cell r="D41">
            <v>3.01</v>
          </cell>
        </row>
        <row r="42">
          <cell r="D42">
            <v>0.2</v>
          </cell>
        </row>
        <row r="45">
          <cell r="D45">
            <v>11.86</v>
          </cell>
        </row>
        <row r="46">
          <cell r="D46">
            <v>18.259999999999998</v>
          </cell>
        </row>
        <row r="50">
          <cell r="D50">
            <v>2.73</v>
          </cell>
        </row>
        <row r="51">
          <cell r="D51">
            <v>7.72</v>
          </cell>
        </row>
        <row r="52">
          <cell r="D52">
            <v>0.53</v>
          </cell>
        </row>
        <row r="55">
          <cell r="D55">
            <v>0.69</v>
          </cell>
        </row>
        <row r="56">
          <cell r="D56">
            <v>2.39</v>
          </cell>
        </row>
        <row r="57">
          <cell r="D57">
            <v>0.26</v>
          </cell>
        </row>
        <row r="60">
          <cell r="D60">
            <v>9.33</v>
          </cell>
        </row>
        <row r="61">
          <cell r="D61">
            <v>23.65</v>
          </cell>
        </row>
        <row r="65">
          <cell r="D65">
            <v>1.65</v>
          </cell>
        </row>
        <row r="66">
          <cell r="D66">
            <v>0.88</v>
          </cell>
        </row>
        <row r="67">
          <cell r="D67">
            <v>0</v>
          </cell>
        </row>
        <row r="70">
          <cell r="D70">
            <v>0.34</v>
          </cell>
        </row>
        <row r="71">
          <cell r="D71">
            <v>1.34</v>
          </cell>
        </row>
        <row r="72">
          <cell r="D72">
            <v>0.28000000000000003</v>
          </cell>
        </row>
        <row r="75">
          <cell r="D75">
            <v>2.2799999999999998</v>
          </cell>
        </row>
        <row r="76">
          <cell r="D76">
            <v>6.77</v>
          </cell>
        </row>
        <row r="80">
          <cell r="D80">
            <v>0</v>
          </cell>
        </row>
        <row r="81">
          <cell r="D81">
            <v>0</v>
          </cell>
        </row>
        <row r="82">
          <cell r="D82">
            <v>0</v>
          </cell>
        </row>
        <row r="85">
          <cell r="D85">
            <v>0</v>
          </cell>
        </row>
        <row r="86">
          <cell r="D86">
            <v>0</v>
          </cell>
        </row>
        <row r="87">
          <cell r="D87">
            <v>0</v>
          </cell>
        </row>
        <row r="90">
          <cell r="D90">
            <v>7.0000000000000007E-2</v>
          </cell>
        </row>
        <row r="91">
          <cell r="D91">
            <v>7.0000000000000007E-2</v>
          </cell>
        </row>
      </sheetData>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ard Paper Inputs"/>
      <sheetName val="Demand Filing Admin Exp Table"/>
      <sheetName val="Headcount dwnld"/>
      <sheetName val="2023 Actuals Tables"/>
      <sheetName val="2023 Actuals dwnld"/>
      <sheetName val="2023 Budget Tables"/>
      <sheetName val="2023 PowerPlan Budget 2"/>
      <sheetName val="2023 PowerPlan Budget 1"/>
      <sheetName val="Reference"/>
      <sheetName val="2022 Budget Tables"/>
      <sheetName val="2022 PowerPlan Budget 3"/>
      <sheetName val="2022 PowerPlan Budget 2"/>
      <sheetName val="2022 Actuals dwnld (2)"/>
      <sheetName val="2022 Actuals Tables (2)"/>
    </sheetNames>
    <sheetDataSet>
      <sheetData sheetId="0" refreshError="1"/>
      <sheetData sheetId="1" refreshError="1"/>
      <sheetData sheetId="2" refreshError="1"/>
      <sheetData sheetId="3" refreshError="1"/>
      <sheetData sheetId="4" refreshError="1"/>
      <sheetData sheetId="5" refreshError="1">
        <row r="12">
          <cell r="E12">
            <v>15.7</v>
          </cell>
        </row>
        <row r="13">
          <cell r="E13">
            <v>8.8699999999999992</v>
          </cell>
        </row>
        <row r="14">
          <cell r="E14">
            <v>8.34</v>
          </cell>
        </row>
        <row r="15">
          <cell r="E15">
            <v>32.909999999999997</v>
          </cell>
        </row>
        <row r="20">
          <cell r="E20">
            <v>2</v>
          </cell>
        </row>
        <row r="21">
          <cell r="E21">
            <v>3.88</v>
          </cell>
        </row>
        <row r="22">
          <cell r="E22">
            <v>0</v>
          </cell>
        </row>
        <row r="25">
          <cell r="E25">
            <v>0.73</v>
          </cell>
        </row>
        <row r="26">
          <cell r="E26">
            <v>2.34</v>
          </cell>
        </row>
        <row r="27">
          <cell r="E27">
            <v>0.66</v>
          </cell>
        </row>
        <row r="30">
          <cell r="E30">
            <v>10.050000000000001</v>
          </cell>
        </row>
        <row r="31">
          <cell r="E31">
            <v>19.66</v>
          </cell>
        </row>
        <row r="35">
          <cell r="E35">
            <v>1.7</v>
          </cell>
        </row>
        <row r="36">
          <cell r="E36">
            <v>0.82</v>
          </cell>
        </row>
        <row r="37">
          <cell r="E37">
            <v>0</v>
          </cell>
        </row>
        <row r="40">
          <cell r="E40">
            <v>0.68</v>
          </cell>
        </row>
        <row r="41">
          <cell r="E41">
            <v>3.01</v>
          </cell>
        </row>
        <row r="42">
          <cell r="E42">
            <v>0.23</v>
          </cell>
        </row>
        <row r="45">
          <cell r="E45">
            <v>11.51</v>
          </cell>
        </row>
        <row r="46">
          <cell r="E46">
            <v>17.95</v>
          </cell>
        </row>
        <row r="50">
          <cell r="E50">
            <v>2.73</v>
          </cell>
        </row>
        <row r="51">
          <cell r="E51">
            <v>8</v>
          </cell>
        </row>
        <row r="52">
          <cell r="E52">
            <v>0.53</v>
          </cell>
        </row>
        <row r="55">
          <cell r="E55">
            <v>0.69</v>
          </cell>
        </row>
        <row r="56">
          <cell r="E56">
            <v>2.39</v>
          </cell>
        </row>
        <row r="57">
          <cell r="E57">
            <v>0.26</v>
          </cell>
        </row>
        <row r="60">
          <cell r="E60">
            <v>9.0500000000000007</v>
          </cell>
        </row>
        <row r="61">
          <cell r="E61">
            <v>23.65</v>
          </cell>
        </row>
        <row r="65">
          <cell r="E65">
            <v>1.65</v>
          </cell>
        </row>
        <row r="66">
          <cell r="E66">
            <v>0.88</v>
          </cell>
        </row>
        <row r="67">
          <cell r="E67">
            <v>0</v>
          </cell>
        </row>
        <row r="70">
          <cell r="E70">
            <v>0.34</v>
          </cell>
        </row>
        <row r="71">
          <cell r="E71">
            <v>1.33</v>
          </cell>
        </row>
        <row r="72">
          <cell r="E72">
            <v>0.28000000000000003</v>
          </cell>
        </row>
        <row r="75">
          <cell r="E75">
            <v>2.21</v>
          </cell>
        </row>
        <row r="76">
          <cell r="E76">
            <v>6.69</v>
          </cell>
        </row>
        <row r="80">
          <cell r="E80">
            <v>0</v>
          </cell>
        </row>
        <row r="81">
          <cell r="E81">
            <v>0</v>
          </cell>
        </row>
        <row r="82">
          <cell r="E82">
            <v>0</v>
          </cell>
        </row>
        <row r="85">
          <cell r="E85">
            <v>0</v>
          </cell>
        </row>
        <row r="86">
          <cell r="E86">
            <v>0</v>
          </cell>
        </row>
        <row r="87">
          <cell r="E87">
            <v>0</v>
          </cell>
        </row>
        <row r="90">
          <cell r="E90">
            <v>0.08</v>
          </cell>
        </row>
        <row r="91">
          <cell r="E91">
            <v>0.08</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ard Paper Inputs"/>
      <sheetName val="Demand Filing Admin Exp Table"/>
      <sheetName val="Headcount dwnld"/>
      <sheetName val="2024 PowerPlan Budget 2"/>
      <sheetName val="2024 PowerPlan Budget 1"/>
      <sheetName val="2024 Actuals Tables"/>
      <sheetName val="2024 Actuals dwnld"/>
      <sheetName val="2024 Budget Tables"/>
      <sheetName val="2023 Budget Tables"/>
      <sheetName val="2023 PowerPlan Budget 2"/>
      <sheetName val="2023 PowerPlan Budget 1"/>
      <sheetName val="Reference"/>
      <sheetName val="2023 Actuals Tables"/>
      <sheetName val="2023 Actuals dwnld"/>
    </sheetNames>
    <sheetDataSet>
      <sheetData sheetId="0"/>
      <sheetData sheetId="1"/>
      <sheetData sheetId="2"/>
      <sheetData sheetId="3"/>
      <sheetData sheetId="4"/>
      <sheetData sheetId="5"/>
      <sheetData sheetId="6"/>
      <sheetData sheetId="7"/>
      <sheetData sheetId="8">
        <row r="13">
          <cell r="F13">
            <v>16.559999999999999</v>
          </cell>
        </row>
        <row r="14">
          <cell r="F14">
            <v>9.23</v>
          </cell>
        </row>
        <row r="15">
          <cell r="F15">
            <v>7.42</v>
          </cell>
        </row>
        <row r="16">
          <cell r="F16">
            <v>33.21</v>
          </cell>
        </row>
        <row r="21">
          <cell r="F21">
            <v>2.04</v>
          </cell>
        </row>
        <row r="22">
          <cell r="F22">
            <v>3.44</v>
          </cell>
        </row>
        <row r="23">
          <cell r="F23">
            <v>0</v>
          </cell>
        </row>
        <row r="26">
          <cell r="F26">
            <v>0.77</v>
          </cell>
        </row>
        <row r="27">
          <cell r="F27">
            <v>2.34</v>
          </cell>
        </row>
        <row r="28">
          <cell r="F28">
            <v>0.68</v>
          </cell>
        </row>
        <row r="31">
          <cell r="F31">
            <v>10.15</v>
          </cell>
        </row>
        <row r="32">
          <cell r="F32">
            <v>19.420000000000002</v>
          </cell>
        </row>
        <row r="36">
          <cell r="F36">
            <v>1.79</v>
          </cell>
        </row>
        <row r="37">
          <cell r="F37">
            <v>0.73</v>
          </cell>
        </row>
        <row r="38">
          <cell r="F38">
            <v>0</v>
          </cell>
        </row>
        <row r="41">
          <cell r="F41">
            <v>0.76</v>
          </cell>
        </row>
        <row r="42">
          <cell r="F42">
            <v>3</v>
          </cell>
        </row>
        <row r="43">
          <cell r="F43">
            <v>0.24000000000000002</v>
          </cell>
        </row>
        <row r="46">
          <cell r="F46">
            <v>11.62</v>
          </cell>
        </row>
        <row r="47">
          <cell r="F47">
            <v>18.14</v>
          </cell>
        </row>
        <row r="51">
          <cell r="F51">
            <v>2.98</v>
          </cell>
        </row>
        <row r="52">
          <cell r="F52">
            <v>8</v>
          </cell>
        </row>
        <row r="53">
          <cell r="F53">
            <v>0.53</v>
          </cell>
        </row>
        <row r="56">
          <cell r="F56">
            <v>0.8</v>
          </cell>
        </row>
        <row r="57">
          <cell r="F57">
            <v>2.39</v>
          </cell>
        </row>
        <row r="58">
          <cell r="F58">
            <v>0.25</v>
          </cell>
        </row>
        <row r="61">
          <cell r="F61">
            <v>9.1300000000000008</v>
          </cell>
        </row>
        <row r="62">
          <cell r="F62">
            <v>24.08</v>
          </cell>
        </row>
        <row r="66">
          <cell r="F66">
            <v>1.76</v>
          </cell>
        </row>
        <row r="67">
          <cell r="F67">
            <v>0.88</v>
          </cell>
        </row>
        <row r="68">
          <cell r="F68">
            <v>0</v>
          </cell>
        </row>
        <row r="71">
          <cell r="F71">
            <v>0.28999999999999998</v>
          </cell>
        </row>
        <row r="72">
          <cell r="F72">
            <v>1.33</v>
          </cell>
        </row>
        <row r="73">
          <cell r="F73">
            <v>0.29000000000000004</v>
          </cell>
        </row>
        <row r="76">
          <cell r="F76">
            <v>2.2300000000000004</v>
          </cell>
        </row>
        <row r="77">
          <cell r="F77">
            <v>6.7800000000000011</v>
          </cell>
        </row>
        <row r="81">
          <cell r="F81">
            <v>0</v>
          </cell>
        </row>
        <row r="82">
          <cell r="F82">
            <v>0</v>
          </cell>
        </row>
        <row r="83">
          <cell r="F83">
            <v>0</v>
          </cell>
        </row>
        <row r="86">
          <cell r="F86">
            <v>0</v>
          </cell>
        </row>
        <row r="87">
          <cell r="F87">
            <v>0</v>
          </cell>
        </row>
        <row r="88">
          <cell r="F88">
            <v>0</v>
          </cell>
        </row>
        <row r="91">
          <cell r="F91">
            <v>0.08</v>
          </cell>
        </row>
        <row r="92">
          <cell r="F92">
            <v>0.08</v>
          </cell>
        </row>
      </sheetData>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165"/>
  <sheetViews>
    <sheetView showGridLines="0" zoomScale="115" zoomScaleNormal="115" zoomScaleSheetLayoutView="110" workbookViewId="0">
      <selection activeCell="E40" sqref="E40"/>
    </sheetView>
  </sheetViews>
  <sheetFormatPr defaultColWidth="8.7109375" defaultRowHeight="12.75" x14ac:dyDescent="0.2"/>
  <cols>
    <col min="1" max="1" width="9.7109375" style="1" customWidth="1"/>
    <col min="2" max="2" width="8.7109375" style="1"/>
    <col min="3" max="3" width="13.7109375" style="1" customWidth="1"/>
    <col min="4" max="4" width="3.7109375" style="1" customWidth="1"/>
    <col min="5" max="5" width="11.28515625" style="1" customWidth="1"/>
    <col min="6" max="6" width="21.7109375" style="1" customWidth="1"/>
    <col min="7" max="7" width="18.7109375" style="3" customWidth="1"/>
    <col min="8" max="8" width="18.7109375" style="30" customWidth="1"/>
    <col min="9" max="9" width="16.7109375" style="35" customWidth="1"/>
    <col min="10" max="10" width="16.7109375" style="36" customWidth="1"/>
    <col min="11" max="11" width="16.7109375" style="37" customWidth="1"/>
    <col min="12" max="16384" width="8.7109375" style="7"/>
  </cols>
  <sheetData>
    <row r="1" spans="2:15" x14ac:dyDescent="0.2">
      <c r="I1" s="49"/>
      <c r="J1" s="50"/>
      <c r="K1" s="51"/>
      <c r="O1" s="67"/>
    </row>
    <row r="2" spans="2:15" ht="15" customHeight="1" x14ac:dyDescent="0.25">
      <c r="B2" s="80" t="s">
        <v>4</v>
      </c>
      <c r="C2" s="80"/>
      <c r="D2" s="80"/>
      <c r="E2" s="80"/>
      <c r="F2" s="80"/>
      <c r="G2" s="80"/>
      <c r="H2" s="26"/>
    </row>
    <row r="3" spans="2:15" ht="12" customHeight="1" x14ac:dyDescent="0.2">
      <c r="B3" s="81" t="s">
        <v>0</v>
      </c>
      <c r="C3" s="81"/>
      <c r="D3" s="81"/>
      <c r="E3" s="81"/>
      <c r="F3" s="81"/>
      <c r="G3" s="81"/>
      <c r="H3" s="27"/>
    </row>
    <row r="4" spans="2:15" ht="12" customHeight="1" x14ac:dyDescent="0.2">
      <c r="G4" s="8"/>
      <c r="H4" s="28"/>
      <c r="I4" s="82" t="s">
        <v>41</v>
      </c>
      <c r="J4" s="83"/>
      <c r="K4" s="84"/>
    </row>
    <row r="5" spans="2:15" ht="12" customHeight="1" x14ac:dyDescent="0.2">
      <c r="B5" s="9" t="s">
        <v>48</v>
      </c>
      <c r="G5" s="8"/>
      <c r="H5" s="28"/>
      <c r="I5" s="35" t="s">
        <v>47</v>
      </c>
      <c r="J5" s="36" t="s">
        <v>42</v>
      </c>
      <c r="K5" s="37" t="s">
        <v>43</v>
      </c>
    </row>
    <row r="6" spans="2:15" ht="12" customHeight="1" x14ac:dyDescent="0.2">
      <c r="B6" s="1" t="s">
        <v>5</v>
      </c>
      <c r="E6" s="10"/>
      <c r="F6" s="10"/>
      <c r="G6" s="2" t="e">
        <f>_xlfn.IFNA(ROUND(VLOOKUP(B6,#REF!,3,FALSE),2),0)</f>
        <v>#REF!</v>
      </c>
      <c r="H6" s="29"/>
      <c r="I6" s="35" t="e">
        <f>ROUND((SUM(G6:G8)/1000),2)</f>
        <v>#REF!</v>
      </c>
      <c r="J6" s="36">
        <f>'[1]2023 Budget Tables'!$D$12</f>
        <v>15.76</v>
      </c>
      <c r="K6" s="37" t="e">
        <f>I6-J6</f>
        <v>#REF!</v>
      </c>
    </row>
    <row r="7" spans="2:15" ht="12" customHeight="1" x14ac:dyDescent="0.2">
      <c r="B7" s="1" t="s">
        <v>30</v>
      </c>
      <c r="G7" s="3" t="e">
        <f>_xlfn.IFNA(ROUND(VLOOKUP(B7,#REF!,3,FALSE),2),0)</f>
        <v>#REF!</v>
      </c>
      <c r="H7" s="29"/>
    </row>
    <row r="8" spans="2:15" ht="12" customHeight="1" x14ac:dyDescent="0.2">
      <c r="B8" s="1" t="s">
        <v>31</v>
      </c>
      <c r="G8" s="3" t="e">
        <f>_xlfn.IFNA(ROUND(VLOOKUP(B8,#REF!,3,FALSE),2),0)</f>
        <v>#REF!</v>
      </c>
      <c r="H8" s="29"/>
      <c r="O8" s="67" t="s">
        <v>78</v>
      </c>
    </row>
    <row r="9" spans="2:15" ht="12" customHeight="1" x14ac:dyDescent="0.2">
      <c r="B9" s="1" t="s">
        <v>32</v>
      </c>
      <c r="G9" s="3" t="e">
        <f>_xlfn.IFNA(ROUND(VLOOKUP(B9,#REF!,3,FALSE),2),0)</f>
        <v>#REF!</v>
      </c>
      <c r="H9" s="29"/>
      <c r="I9" s="35" t="e">
        <f>ROUND((SUM(G9:G11)/1000),2)</f>
        <v>#REF!</v>
      </c>
      <c r="J9" s="36">
        <f>'[1]2023 Budget Tables'!$D$13</f>
        <v>9.1300000000000008</v>
      </c>
      <c r="K9" s="37" t="e">
        <f>I9-J9</f>
        <v>#REF!</v>
      </c>
      <c r="L9" s="75" t="s">
        <v>72</v>
      </c>
      <c r="M9" s="76"/>
    </row>
    <row r="10" spans="2:15" ht="12" customHeight="1" x14ac:dyDescent="0.2">
      <c r="B10" s="1" t="s">
        <v>33</v>
      </c>
      <c r="G10" s="3" t="e">
        <f>_xlfn.IFNA(ROUND(VLOOKUP(B10,#REF!,3,FALSE),2),0)</f>
        <v>#REF!</v>
      </c>
      <c r="H10" s="29"/>
      <c r="L10" s="75"/>
      <c r="M10" s="76"/>
    </row>
    <row r="11" spans="2:15" ht="12" customHeight="1" x14ac:dyDescent="0.2">
      <c r="B11" s="1" t="s">
        <v>34</v>
      </c>
      <c r="G11" s="3" t="e">
        <f>_xlfn.IFNA(ROUND(VLOOKUP(B11,#REF!,3,FALSE),2),0)</f>
        <v>#REF!</v>
      </c>
      <c r="H11" s="29"/>
      <c r="L11" s="75"/>
      <c r="M11" s="76"/>
    </row>
    <row r="12" spans="2:15" ht="12" customHeight="1" x14ac:dyDescent="0.2">
      <c r="B12" s="1" t="s">
        <v>35</v>
      </c>
      <c r="G12" s="3" t="e">
        <f>_xlfn.IFNA(ROUND(VLOOKUP(B12,#REF!,3,FALSE),2),0)</f>
        <v>#REF!</v>
      </c>
      <c r="H12" s="29"/>
      <c r="I12" s="35" t="e">
        <f>ROUND((SUM(G12:G17,G22)/1000),2)</f>
        <v>#REF!</v>
      </c>
      <c r="J12" s="36">
        <f>'[1]2023 Budget Tables'!$D$14</f>
        <v>9.01</v>
      </c>
      <c r="K12" s="37" t="e">
        <f>I12-J12</f>
        <v>#REF!</v>
      </c>
      <c r="L12" s="75"/>
      <c r="M12" s="76"/>
    </row>
    <row r="13" spans="2:15" ht="12" customHeight="1" x14ac:dyDescent="0.2">
      <c r="B13" s="11" t="s">
        <v>1</v>
      </c>
      <c r="G13" s="3" t="e">
        <f>_xlfn.IFNA(ROUND(VLOOKUP(B13,#REF!,3,FALSE),2),0)</f>
        <v>#REF!</v>
      </c>
      <c r="H13" s="29"/>
      <c r="L13" s="75"/>
      <c r="M13" s="76"/>
    </row>
    <row r="14" spans="2:15" ht="12" customHeight="1" x14ac:dyDescent="0.2">
      <c r="B14" s="1" t="s">
        <v>37</v>
      </c>
      <c r="G14" s="3" t="e">
        <f>_xlfn.IFNA(ROUND(VLOOKUP(B14,#REF!,3,FALSE),2),0)</f>
        <v>#REF!</v>
      </c>
      <c r="H14" s="29"/>
      <c r="L14" s="75"/>
      <c r="M14" s="76"/>
    </row>
    <row r="15" spans="2:15" ht="12" customHeight="1" x14ac:dyDescent="0.2">
      <c r="B15" s="1" t="s">
        <v>40</v>
      </c>
      <c r="G15" s="3" t="e">
        <f>_xlfn.IFNA(ROUND(VLOOKUP(B15,#REF!,3,FALSE),2),0)</f>
        <v>#REF!</v>
      </c>
      <c r="H15" s="29"/>
    </row>
    <row r="16" spans="2:15" ht="12" customHeight="1" x14ac:dyDescent="0.2">
      <c r="B16" s="1" t="s">
        <v>36</v>
      </c>
      <c r="G16" s="45" t="e">
        <f>_xlfn.IFNA(ROUND(VLOOKUP(B16,#REF!,3,FALSE),2),0)</f>
        <v>#REF!</v>
      </c>
      <c r="H16" s="29"/>
    </row>
    <row r="17" spans="2:11" ht="12" customHeight="1" x14ac:dyDescent="0.2">
      <c r="B17" s="1" t="s">
        <v>10</v>
      </c>
      <c r="G17" s="4" t="e">
        <f>_xlfn.IFNA(ROUND(VLOOKUP(B17,#REF!,3,FALSE),2),0)</f>
        <v>#REF!</v>
      </c>
      <c r="H17" s="29"/>
    </row>
    <row r="18" spans="2:11" ht="12" customHeight="1" x14ac:dyDescent="0.2">
      <c r="G18" s="6" t="e">
        <f>SUM(G6:G17)</f>
        <v>#REF!</v>
      </c>
      <c r="H18" s="29"/>
    </row>
    <row r="19" spans="2:11" ht="12" customHeight="1" x14ac:dyDescent="0.2">
      <c r="B19" s="1" t="s">
        <v>2</v>
      </c>
      <c r="C19" s="12" t="s">
        <v>13</v>
      </c>
      <c r="H19" s="29"/>
    </row>
    <row r="20" spans="2:11" ht="12" customHeight="1" x14ac:dyDescent="0.2">
      <c r="C20" s="12"/>
      <c r="H20" s="29"/>
    </row>
    <row r="21" spans="2:11" ht="12" customHeight="1" x14ac:dyDescent="0.2">
      <c r="B21" s="9" t="s">
        <v>49</v>
      </c>
      <c r="C21" s="12"/>
      <c r="H21" s="29"/>
    </row>
    <row r="22" spans="2:11" ht="12" customHeight="1" x14ac:dyDescent="0.2">
      <c r="B22" s="1" t="s">
        <v>12</v>
      </c>
      <c r="C22" s="12"/>
      <c r="G22" s="5" t="e">
        <f>_xlfn.IFNA(ROUND(VLOOKUP("Direct Capital Costs",#REF!,3,FALSE),2),0)</f>
        <v>#REF!</v>
      </c>
      <c r="H22" s="29" t="s">
        <v>73</v>
      </c>
    </row>
    <row r="23" spans="2:11" ht="12" customHeight="1" x14ac:dyDescent="0.2">
      <c r="C23" s="12" t="s">
        <v>14</v>
      </c>
      <c r="G23" s="6" t="e">
        <f t="shared" ref="G23" si="0">SUM(G22)</f>
        <v>#REF!</v>
      </c>
      <c r="H23" s="29"/>
    </row>
    <row r="24" spans="2:11" ht="12" customHeight="1" x14ac:dyDescent="0.2">
      <c r="C24" s="12"/>
      <c r="H24" s="29"/>
    </row>
    <row r="25" spans="2:11" ht="12" customHeight="1" x14ac:dyDescent="0.2">
      <c r="C25" s="12" t="s">
        <v>15</v>
      </c>
      <c r="G25" s="6" t="e">
        <f>SUM(G18,G23)</f>
        <v>#REF!</v>
      </c>
      <c r="H25" s="29"/>
      <c r="I25" s="35" t="e">
        <f>ROUND(G25/1000,2)</f>
        <v>#REF!</v>
      </c>
      <c r="J25" s="36">
        <f>'[1]2023 Budget Tables'!$D$15</f>
        <v>33.9</v>
      </c>
      <c r="K25" s="37" t="e">
        <f>I25-J25</f>
        <v>#REF!</v>
      </c>
    </row>
    <row r="26" spans="2:11" ht="12" customHeight="1" x14ac:dyDescent="0.2">
      <c r="C26" s="12"/>
      <c r="H26" s="29"/>
    </row>
    <row r="27" spans="2:11" ht="12" customHeight="1" x14ac:dyDescent="0.2">
      <c r="C27" s="12" t="s">
        <v>3</v>
      </c>
      <c r="H27" s="29"/>
    </row>
    <row r="28" spans="2:11" ht="12" customHeight="1" x14ac:dyDescent="0.2">
      <c r="C28" s="12"/>
      <c r="H28" s="29"/>
    </row>
    <row r="29" spans="2:11" ht="15" customHeight="1" x14ac:dyDescent="0.2">
      <c r="C29" s="12"/>
      <c r="H29" s="29"/>
    </row>
    <row r="30" spans="2:11" ht="15.75" x14ac:dyDescent="0.25">
      <c r="B30" s="79" t="s">
        <v>11</v>
      </c>
      <c r="C30" s="79"/>
      <c r="D30" s="79"/>
      <c r="E30" s="79"/>
      <c r="F30" s="79"/>
      <c r="G30" s="79"/>
      <c r="H30" s="29"/>
    </row>
    <row r="31" spans="2:11" ht="12" customHeight="1" x14ac:dyDescent="0.2">
      <c r="B31" s="81" t="s">
        <v>0</v>
      </c>
      <c r="C31" s="81"/>
      <c r="D31" s="81"/>
      <c r="E31" s="81"/>
      <c r="F31" s="81"/>
      <c r="G31" s="81"/>
      <c r="H31" s="29"/>
    </row>
    <row r="32" spans="2:11" ht="12" customHeight="1" x14ac:dyDescent="0.2">
      <c r="H32" s="29"/>
    </row>
    <row r="33" spans="2:11" ht="12" customHeight="1" x14ac:dyDescent="0.2">
      <c r="B33" s="9" t="str">
        <f>B5</f>
        <v>2nd Quarter Operating Budget:</v>
      </c>
      <c r="F33" s="13"/>
      <c r="G33" s="8"/>
      <c r="H33" s="29"/>
    </row>
    <row r="34" spans="2:11" ht="12" customHeight="1" x14ac:dyDescent="0.2">
      <c r="B34" s="1" t="s">
        <v>5</v>
      </c>
      <c r="G34" s="2" t="e">
        <f>_xlfn.IFNA(ROUND(VLOOKUP(B34,#REF!,3,FALSE),2),0)</f>
        <v>#REF!</v>
      </c>
      <c r="H34" s="29"/>
      <c r="I34" s="35" t="e">
        <f>ROUND((SUM(G34:G36)/1000),2)</f>
        <v>#REF!</v>
      </c>
      <c r="J34" s="36">
        <f>SUM('[1]2023 Budget Tables'!$D$35,'[1]2023 Budget Tables'!$D$40)</f>
        <v>2.38</v>
      </c>
      <c r="K34" s="37" t="e">
        <f>I34-J34</f>
        <v>#REF!</v>
      </c>
    </row>
    <row r="35" spans="2:11" ht="12" customHeight="1" x14ac:dyDescent="0.2">
      <c r="B35" s="1" t="s">
        <v>30</v>
      </c>
      <c r="G35" s="3" t="e">
        <f>_xlfn.IFNA(ROUND(VLOOKUP(B35,#REF!,3,FALSE),2),0)</f>
        <v>#REF!</v>
      </c>
      <c r="H35" s="29"/>
    </row>
    <row r="36" spans="2:11" ht="12" customHeight="1" x14ac:dyDescent="0.2">
      <c r="B36" s="1" t="s">
        <v>31</v>
      </c>
      <c r="G36" s="3" t="e">
        <f>_xlfn.IFNA(ROUND(VLOOKUP(B36,#REF!,3,FALSE),2),0)</f>
        <v>#REF!</v>
      </c>
      <c r="H36" s="29"/>
    </row>
    <row r="37" spans="2:11" ht="12" customHeight="1" x14ac:dyDescent="0.2">
      <c r="B37" s="1" t="s">
        <v>32</v>
      </c>
      <c r="G37" s="3" t="e">
        <f>_xlfn.IFNA(ROUND(VLOOKUP(B37,#REF!,3,FALSE),2),0)</f>
        <v>#REF!</v>
      </c>
      <c r="H37" s="29"/>
      <c r="I37" s="35" t="e">
        <f>ROUND((SUM(G37:G39,G49)/1000),2)</f>
        <v>#REF!</v>
      </c>
      <c r="J37" s="36">
        <f>SUM('[1]2023 Budget Tables'!$D$36,'[1]2023 Budget Tables'!$D$41)</f>
        <v>3.82</v>
      </c>
      <c r="K37" s="37" t="e">
        <f>I37-J37</f>
        <v>#REF!</v>
      </c>
    </row>
    <row r="38" spans="2:11" ht="12" customHeight="1" x14ac:dyDescent="0.2">
      <c r="B38" s="1" t="s">
        <v>33</v>
      </c>
      <c r="G38" s="3" t="e">
        <f>_xlfn.IFNA(ROUND(VLOOKUP(B38,#REF!,3,FALSE),2),0)</f>
        <v>#REF!</v>
      </c>
      <c r="H38" s="29"/>
    </row>
    <row r="39" spans="2:11" ht="12" customHeight="1" x14ac:dyDescent="0.2">
      <c r="B39" s="1" t="s">
        <v>34</v>
      </c>
      <c r="G39" s="3" t="e">
        <f>_xlfn.IFNA(ROUND(VLOOKUP(B39,#REF!,3,FALSE),2),0)</f>
        <v>#REF!</v>
      </c>
      <c r="H39" s="29"/>
    </row>
    <row r="40" spans="2:11" ht="12" customHeight="1" x14ac:dyDescent="0.2">
      <c r="B40" s="1" t="s">
        <v>35</v>
      </c>
      <c r="G40" s="3" t="e">
        <f>_xlfn.IFNA(ROUND(VLOOKUP(B40,#REF!,3,FALSE),2),0)</f>
        <v>#REF!</v>
      </c>
      <c r="H40" s="29"/>
      <c r="I40" s="35" t="e">
        <f>ROUND((SUM(G40:G44)/1000),2)</f>
        <v>#REF!</v>
      </c>
      <c r="J40" s="36">
        <f>SUM('[1]2023 Budget Tables'!$D$37,'[1]2023 Budget Tables'!$D$42)</f>
        <v>0.2</v>
      </c>
      <c r="K40" s="37" t="e">
        <f>I40-J40</f>
        <v>#REF!</v>
      </c>
    </row>
    <row r="41" spans="2:11" ht="12" customHeight="1" x14ac:dyDescent="0.2">
      <c r="B41" s="1" t="s">
        <v>1</v>
      </c>
      <c r="G41" s="3" t="e">
        <f>_xlfn.IFNA(ROUND(VLOOKUP(B41,#REF!,3,FALSE),2),0)</f>
        <v>#REF!</v>
      </c>
      <c r="H41" s="29"/>
    </row>
    <row r="42" spans="2:11" ht="12" customHeight="1" x14ac:dyDescent="0.2">
      <c r="B42" s="1" t="s">
        <v>37</v>
      </c>
      <c r="G42" s="3" t="e">
        <f>_xlfn.IFNA(ROUND(VLOOKUP(B42,#REF!,3,FALSE),2),0)</f>
        <v>#REF!</v>
      </c>
      <c r="H42" s="29"/>
    </row>
    <row r="43" spans="2:11" ht="12" customHeight="1" x14ac:dyDescent="0.2">
      <c r="B43" s="1" t="s">
        <v>40</v>
      </c>
      <c r="G43" s="3" t="e">
        <f>_xlfn.IFNA(ROUND(VLOOKUP(B43,#REF!,3,FALSE),2),0)</f>
        <v>#REF!</v>
      </c>
      <c r="H43" s="29"/>
    </row>
    <row r="44" spans="2:11" ht="12" customHeight="1" x14ac:dyDescent="0.2">
      <c r="B44" s="1" t="s">
        <v>36</v>
      </c>
      <c r="E44" s="14"/>
      <c r="G44" s="3" t="e">
        <f>_xlfn.IFNA(ROUND(VLOOKUP(B44,#REF!,3,FALSE),2),0)</f>
        <v>#REF!</v>
      </c>
      <c r="H44" s="29"/>
    </row>
    <row r="45" spans="2:11" ht="12" customHeight="1" x14ac:dyDescent="0.2">
      <c r="B45" s="1" t="s">
        <v>9</v>
      </c>
      <c r="G45" s="4" t="e">
        <f>_xlfn.IFNA(ROUND(VLOOKUP("Allocation of Common Operating",#REF!,3,FALSE),2),0)</f>
        <v>#REF!</v>
      </c>
      <c r="H45" s="29"/>
      <c r="I45" s="35" t="e">
        <f>ROUND((SUM(G45,G50)/1000),2)</f>
        <v>#REF!</v>
      </c>
      <c r="J45" s="36">
        <f>'[1]2023 Budget Tables'!$D$45</f>
        <v>11.86</v>
      </c>
      <c r="K45" s="37" t="e">
        <f>I45-J45</f>
        <v>#REF!</v>
      </c>
    </row>
    <row r="46" spans="2:11" ht="12" customHeight="1" x14ac:dyDescent="0.2">
      <c r="B46" s="12" t="s">
        <v>16</v>
      </c>
      <c r="E46" s="14"/>
      <c r="G46" s="6" t="e">
        <f>SUM(G34:G45)</f>
        <v>#REF!</v>
      </c>
      <c r="H46" s="29"/>
    </row>
    <row r="47" spans="2:11" ht="12" customHeight="1" x14ac:dyDescent="0.2">
      <c r="B47" s="12"/>
      <c r="E47" s="14"/>
      <c r="G47" s="15"/>
      <c r="H47" s="29"/>
    </row>
    <row r="48" spans="2:11" ht="12" customHeight="1" x14ac:dyDescent="0.2">
      <c r="B48" s="9" t="str">
        <f>B21</f>
        <v>2nd Quarter Capital Budget:</v>
      </c>
      <c r="C48" s="12"/>
      <c r="H48" s="29"/>
    </row>
    <row r="49" spans="2:11" ht="12" customHeight="1" x14ac:dyDescent="0.2">
      <c r="B49" s="1" t="s">
        <v>29</v>
      </c>
      <c r="C49" s="12"/>
      <c r="G49" s="2" t="e">
        <f>_xlfn.IFNA(ROUND(VLOOKUP(B49,#REF!,3,FALSE),2),0)</f>
        <v>#REF!</v>
      </c>
      <c r="H49" s="29"/>
    </row>
    <row r="50" spans="2:11" ht="12" customHeight="1" x14ac:dyDescent="0.2">
      <c r="B50" s="1" t="s">
        <v>17</v>
      </c>
      <c r="C50" s="12"/>
      <c r="G50" s="4" t="e">
        <f>_xlfn.IFNA(ROUND(VLOOKUP("Allocation of Common Capital",#REF!,3,FALSE),2),0)</f>
        <v>#REF!</v>
      </c>
      <c r="H50" s="29" t="s">
        <v>73</v>
      </c>
    </row>
    <row r="51" spans="2:11" ht="12" customHeight="1" x14ac:dyDescent="0.2">
      <c r="B51" s="12" t="s">
        <v>18</v>
      </c>
      <c r="C51" s="12"/>
      <c r="G51" s="6" t="e">
        <f>SUM(G49:G50)</f>
        <v>#REF!</v>
      </c>
      <c r="H51" s="29"/>
    </row>
    <row r="52" spans="2:11" ht="12" customHeight="1" x14ac:dyDescent="0.2">
      <c r="C52" s="12"/>
      <c r="H52" s="29"/>
    </row>
    <row r="53" spans="2:11" ht="12" customHeight="1" x14ac:dyDescent="0.2">
      <c r="C53" s="12" t="s">
        <v>19</v>
      </c>
      <c r="G53" s="6" t="e">
        <f>SUM(G46,G51)</f>
        <v>#REF!</v>
      </c>
      <c r="H53" s="29"/>
      <c r="I53" s="35" t="e">
        <f>ROUND((SUM(G53)/1000),2)</f>
        <v>#REF!</v>
      </c>
      <c r="J53" s="36">
        <f>'[1]2023 Budget Tables'!$D$46</f>
        <v>18.259999999999998</v>
      </c>
      <c r="K53" s="37" t="e">
        <f>I53-J53</f>
        <v>#REF!</v>
      </c>
    </row>
    <row r="54" spans="2:11" ht="12" customHeight="1" x14ac:dyDescent="0.2">
      <c r="C54" s="12"/>
      <c r="H54" s="29"/>
    </row>
    <row r="55" spans="2:11" ht="15" customHeight="1" x14ac:dyDescent="0.2">
      <c r="C55" s="12"/>
      <c r="H55" s="29"/>
    </row>
    <row r="56" spans="2:11" ht="15.75" x14ac:dyDescent="0.25">
      <c r="B56" s="79" t="s">
        <v>7</v>
      </c>
      <c r="C56" s="79"/>
      <c r="D56" s="79"/>
      <c r="E56" s="79"/>
      <c r="F56" s="79"/>
      <c r="G56" s="79"/>
      <c r="H56" s="29"/>
    </row>
    <row r="57" spans="2:11" ht="12" customHeight="1" x14ac:dyDescent="0.2">
      <c r="B57" s="81" t="s">
        <v>0</v>
      </c>
      <c r="C57" s="81"/>
      <c r="D57" s="81"/>
      <c r="E57" s="81"/>
      <c r="F57" s="81"/>
      <c r="G57" s="81"/>
      <c r="H57" s="29"/>
    </row>
    <row r="58" spans="2:11" ht="13.5" customHeight="1" x14ac:dyDescent="0.2">
      <c r="B58" s="12"/>
      <c r="E58" s="16"/>
      <c r="H58" s="29"/>
    </row>
    <row r="59" spans="2:11" x14ac:dyDescent="0.2">
      <c r="B59" s="9" t="str">
        <f>B5</f>
        <v>2nd Quarter Operating Budget:</v>
      </c>
      <c r="E59" s="14"/>
      <c r="G59" s="8"/>
      <c r="H59" s="29"/>
    </row>
    <row r="60" spans="2:11" ht="12" customHeight="1" x14ac:dyDescent="0.2">
      <c r="B60" s="1" t="s">
        <v>5</v>
      </c>
      <c r="E60" s="14"/>
      <c r="G60" s="2" t="e">
        <f>_xlfn.IFNA(ROUND(VLOOKUP(B60,#REF!,3,FALSE),2),0)</f>
        <v>#REF!</v>
      </c>
      <c r="H60" s="29"/>
      <c r="I60" s="35" t="e">
        <f>ROUND((SUM(G60:G62)/1000),2)</f>
        <v>#REF!</v>
      </c>
      <c r="J60" s="36">
        <f>SUM('[1]2023 Budget Tables'!$D$50,'[1]2023 Budget Tables'!$D$55)</f>
        <v>3.42</v>
      </c>
      <c r="K60" s="37" t="e">
        <f>I60-J60</f>
        <v>#REF!</v>
      </c>
    </row>
    <row r="61" spans="2:11" ht="12" customHeight="1" x14ac:dyDescent="0.2">
      <c r="B61" s="1" t="s">
        <v>30</v>
      </c>
      <c r="E61" s="14"/>
      <c r="G61" s="30" t="e">
        <f>_xlfn.IFNA(ROUND(VLOOKUP(B61,#REF!,3,FALSE),2),0)</f>
        <v>#REF!</v>
      </c>
      <c r="H61" s="29"/>
    </row>
    <row r="62" spans="2:11" ht="12" customHeight="1" x14ac:dyDescent="0.2">
      <c r="B62" s="1" t="s">
        <v>31</v>
      </c>
      <c r="E62" s="14"/>
      <c r="G62" s="30" t="e">
        <f>_xlfn.IFNA(ROUND(VLOOKUP(B62,#REF!,3,FALSE),2),0)</f>
        <v>#REF!</v>
      </c>
      <c r="H62" s="29"/>
    </row>
    <row r="63" spans="2:11" ht="12" customHeight="1" x14ac:dyDescent="0.2">
      <c r="B63" s="1" t="s">
        <v>32</v>
      </c>
      <c r="E63" s="14"/>
      <c r="G63" s="30" t="e">
        <f>_xlfn.IFNA(ROUND(VLOOKUP(B63,#REF!,3,FALSE),2),0)</f>
        <v>#REF!</v>
      </c>
      <c r="H63" s="29"/>
      <c r="I63" s="35" t="e">
        <f>ROUND((SUM(G63:G66,G76)/1000),2)</f>
        <v>#REF!</v>
      </c>
      <c r="J63" s="36">
        <f>SUM('[1]2023 Budget Tables'!$D$51,'[1]2023 Budget Tables'!$D$56)</f>
        <v>10.11</v>
      </c>
      <c r="K63" s="37" t="e">
        <f>I63-J63</f>
        <v>#REF!</v>
      </c>
    </row>
    <row r="64" spans="2:11" ht="12" customHeight="1" x14ac:dyDescent="0.2">
      <c r="B64" s="1" t="s">
        <v>33</v>
      </c>
      <c r="E64" s="14"/>
      <c r="G64" s="30" t="e">
        <f>_xlfn.IFNA(ROUND(VLOOKUP(B64,#REF!,3,FALSE),2),0)</f>
        <v>#REF!</v>
      </c>
      <c r="H64" s="29"/>
    </row>
    <row r="65" spans="2:11" ht="12" customHeight="1" x14ac:dyDescent="0.2">
      <c r="B65" s="1" t="s">
        <v>38</v>
      </c>
      <c r="E65" s="14"/>
      <c r="G65" s="30" t="e">
        <f>_xlfn.IFNA(ROUND(VLOOKUP(B65,#REF!,3,FALSE),2),0)</f>
        <v>#REF!</v>
      </c>
      <c r="H65" s="29" t="s">
        <v>73</v>
      </c>
    </row>
    <row r="66" spans="2:11" ht="12" customHeight="1" x14ac:dyDescent="0.2">
      <c r="B66" s="1" t="s">
        <v>34</v>
      </c>
      <c r="E66" s="14"/>
      <c r="G66" s="30" t="e">
        <f>_xlfn.IFNA(ROUND(VLOOKUP(B66,#REF!,3,FALSE),2),0)</f>
        <v>#REF!</v>
      </c>
      <c r="H66" s="29"/>
      <c r="I66" s="35" t="e">
        <f>ROUND((SUM(G67:G71)/1000),2)</f>
        <v>#REF!</v>
      </c>
      <c r="J66" s="36">
        <f>SUM('[1]2023 Budget Tables'!$D$52,'[1]2023 Budget Tables'!$D$57)</f>
        <v>0.79</v>
      </c>
      <c r="K66" s="37" t="e">
        <f>I66-J66</f>
        <v>#REF!</v>
      </c>
    </row>
    <row r="67" spans="2:11" ht="12" customHeight="1" x14ac:dyDescent="0.2">
      <c r="B67" s="1" t="s">
        <v>35</v>
      </c>
      <c r="E67" s="14"/>
      <c r="G67" s="30" t="e">
        <f>_xlfn.IFNA(ROUND(VLOOKUP(B67,#REF!,3,FALSE),2),0)</f>
        <v>#REF!</v>
      </c>
      <c r="H67" s="29"/>
    </row>
    <row r="68" spans="2:11" ht="12" customHeight="1" x14ac:dyDescent="0.2">
      <c r="B68" s="1" t="s">
        <v>1</v>
      </c>
      <c r="E68" s="14"/>
      <c r="G68" s="30" t="e">
        <f>_xlfn.IFNA(ROUND(VLOOKUP(B68,#REF!,3,FALSE),2),0)</f>
        <v>#REF!</v>
      </c>
      <c r="H68" s="29"/>
    </row>
    <row r="69" spans="2:11" ht="12" customHeight="1" x14ac:dyDescent="0.2">
      <c r="B69" s="1" t="s">
        <v>37</v>
      </c>
      <c r="E69" s="14"/>
      <c r="G69" s="30" t="e">
        <f>_xlfn.IFNA(ROUND(VLOOKUP(B69,#REF!,3,FALSE),2),0)</f>
        <v>#REF!</v>
      </c>
      <c r="H69" s="29"/>
    </row>
    <row r="70" spans="2:11" ht="12" customHeight="1" x14ac:dyDescent="0.2">
      <c r="B70" s="1" t="s">
        <v>40</v>
      </c>
      <c r="E70" s="14"/>
      <c r="G70" s="30" t="e">
        <f>_xlfn.IFNA(ROUND(VLOOKUP(B70,#REF!,3,FALSE),2),0)</f>
        <v>#REF!</v>
      </c>
      <c r="H70" s="29"/>
    </row>
    <row r="71" spans="2:11" ht="12" customHeight="1" x14ac:dyDescent="0.2">
      <c r="B71" s="1" t="s">
        <v>36</v>
      </c>
      <c r="E71" s="14"/>
      <c r="G71" s="30" t="e">
        <f>_xlfn.IFNA(ROUND(VLOOKUP(B71,#REF!,3,FALSE),2),0)</f>
        <v>#REF!</v>
      </c>
      <c r="H71" s="29"/>
    </row>
    <row r="72" spans="2:11" ht="12" customHeight="1" x14ac:dyDescent="0.2">
      <c r="B72" s="1" t="s">
        <v>9</v>
      </c>
      <c r="E72" s="14"/>
      <c r="G72" s="41" t="e">
        <f>_xlfn.IFNA(ROUND(VLOOKUP("Allocation of Common Operating",#REF!,3,FALSE),2),0)</f>
        <v>#REF!</v>
      </c>
      <c r="H72" s="29"/>
      <c r="I72" s="35" t="e">
        <f>ROUND((SUM(G72,G77)/1000),2)</f>
        <v>#REF!</v>
      </c>
      <c r="J72" s="36">
        <f>'[1]2023 Budget Tables'!$D$60</f>
        <v>9.33</v>
      </c>
      <c r="K72" s="37" t="e">
        <f>I72-J72</f>
        <v>#REF!</v>
      </c>
    </row>
    <row r="73" spans="2:11" ht="12" customHeight="1" x14ac:dyDescent="0.2">
      <c r="B73" s="12" t="s">
        <v>20</v>
      </c>
      <c r="G73" s="6" t="e">
        <f>SUM(G60:G72)</f>
        <v>#REF!</v>
      </c>
      <c r="H73" s="29"/>
    </row>
    <row r="74" spans="2:11" ht="12" customHeight="1" x14ac:dyDescent="0.2">
      <c r="G74" s="15"/>
      <c r="H74" s="29"/>
    </row>
    <row r="75" spans="2:11" ht="12" customHeight="1" x14ac:dyDescent="0.2">
      <c r="B75" s="9" t="str">
        <f>B21</f>
        <v>2nd Quarter Capital Budget:</v>
      </c>
      <c r="C75" s="12"/>
      <c r="H75" s="29"/>
    </row>
    <row r="76" spans="2:11" ht="12" customHeight="1" x14ac:dyDescent="0.2">
      <c r="B76" s="1" t="s">
        <v>29</v>
      </c>
      <c r="G76" s="2" t="e">
        <f>_xlfn.IFNA(ROUND(VLOOKUP(B76,#REF!,3,FALSE),2),0)</f>
        <v>#REF!</v>
      </c>
      <c r="H76" s="29"/>
    </row>
    <row r="77" spans="2:11" ht="12" customHeight="1" x14ac:dyDescent="0.2">
      <c r="B77" s="1" t="s">
        <v>17</v>
      </c>
      <c r="C77" s="12"/>
      <c r="G77" s="4" t="e">
        <f>_xlfn.IFNA(ROUND(VLOOKUP("Allocation of Common Capital",#REF!,3,FALSE),2),0)</f>
        <v>#REF!</v>
      </c>
      <c r="H77" s="29" t="s">
        <v>73</v>
      </c>
    </row>
    <row r="78" spans="2:11" ht="12" customHeight="1" x14ac:dyDescent="0.2">
      <c r="B78" s="12" t="s">
        <v>24</v>
      </c>
      <c r="C78" s="12"/>
      <c r="G78" s="6" t="e">
        <f>SUM(G76:G77)</f>
        <v>#REF!</v>
      </c>
      <c r="H78" s="29"/>
    </row>
    <row r="79" spans="2:11" x14ac:dyDescent="0.2">
      <c r="C79" s="12"/>
      <c r="H79" s="29"/>
    </row>
    <row r="80" spans="2:11" x14ac:dyDescent="0.2">
      <c r="C80" s="12" t="s">
        <v>22</v>
      </c>
      <c r="G80" s="6" t="e">
        <f>SUM(G73,G78)</f>
        <v>#REF!</v>
      </c>
      <c r="H80" s="29"/>
      <c r="I80" s="35" t="e">
        <f>ROUND((SUM(G80)/1000),2)</f>
        <v>#REF!</v>
      </c>
      <c r="J80" s="36">
        <f>'[1]2023 Budget Tables'!$D$61</f>
        <v>23.65</v>
      </c>
      <c r="K80" s="37" t="e">
        <f>I80-J80</f>
        <v>#REF!</v>
      </c>
    </row>
    <row r="81" spans="2:11" x14ac:dyDescent="0.2">
      <c r="C81" s="12"/>
      <c r="H81" s="29"/>
    </row>
    <row r="82" spans="2:11" x14ac:dyDescent="0.2">
      <c r="C82" s="12"/>
      <c r="H82" s="29"/>
    </row>
    <row r="83" spans="2:11" ht="15.75" x14ac:dyDescent="0.25">
      <c r="B83" s="80" t="s">
        <v>8</v>
      </c>
      <c r="C83" s="80"/>
      <c r="D83" s="80"/>
      <c r="E83" s="80"/>
      <c r="F83" s="80"/>
      <c r="G83" s="80"/>
      <c r="H83" s="29"/>
    </row>
    <row r="84" spans="2:11" ht="12" customHeight="1" x14ac:dyDescent="0.2">
      <c r="B84" s="81" t="s">
        <v>0</v>
      </c>
      <c r="C84" s="81"/>
      <c r="D84" s="81"/>
      <c r="E84" s="81"/>
      <c r="F84" s="81"/>
      <c r="G84" s="81"/>
      <c r="H84" s="29"/>
    </row>
    <row r="85" spans="2:11" ht="12" customHeight="1" x14ac:dyDescent="0.25">
      <c r="E85" s="16"/>
      <c r="F85" s="17"/>
      <c r="H85" s="29"/>
    </row>
    <row r="86" spans="2:11" ht="12" customHeight="1" x14ac:dyDescent="0.2">
      <c r="B86" s="9" t="str">
        <f>B5</f>
        <v>2nd Quarter Operating Budget:</v>
      </c>
      <c r="G86" s="8"/>
      <c r="H86" s="29"/>
    </row>
    <row r="87" spans="2:11" ht="12" customHeight="1" x14ac:dyDescent="0.2">
      <c r="B87" s="1" t="s">
        <v>5</v>
      </c>
      <c r="E87" s="18"/>
      <c r="G87" s="2" t="e">
        <f>_xlfn.IFNA(ROUND(VLOOKUP(B87,#REF!,3,FALSE),2),0)</f>
        <v>#REF!</v>
      </c>
      <c r="H87" s="29"/>
      <c r="I87" s="35" t="e">
        <f>ROUND((SUM(G87:G89)/1000),2)</f>
        <v>#REF!</v>
      </c>
      <c r="J87" s="36">
        <f>SUM('[1]2023 Budget Tables'!$D$65,'[1]2023 Budget Tables'!$D$70)</f>
        <v>1.99</v>
      </c>
      <c r="K87" s="37" t="e">
        <f>I87-J87</f>
        <v>#REF!</v>
      </c>
    </row>
    <row r="88" spans="2:11" ht="12" customHeight="1" x14ac:dyDescent="0.2">
      <c r="B88" s="1" t="s">
        <v>30</v>
      </c>
      <c r="E88" s="14"/>
      <c r="G88" s="3" t="e">
        <f>_xlfn.IFNA(ROUND(VLOOKUP(B88,#REF!,3,FALSE),2),0)</f>
        <v>#REF!</v>
      </c>
      <c r="H88" s="29"/>
    </row>
    <row r="89" spans="2:11" ht="12" customHeight="1" x14ac:dyDescent="0.2">
      <c r="B89" s="1" t="s">
        <v>31</v>
      </c>
      <c r="E89" s="14"/>
      <c r="G89" s="3" t="e">
        <f>_xlfn.IFNA(ROUND(VLOOKUP(B89,#REF!,3,FALSE),2),0)</f>
        <v>#REF!</v>
      </c>
      <c r="H89" s="29"/>
    </row>
    <row r="90" spans="2:11" ht="12" customHeight="1" x14ac:dyDescent="0.2">
      <c r="B90" s="1" t="s">
        <v>32</v>
      </c>
      <c r="E90" s="14"/>
      <c r="G90" s="3" t="e">
        <f>_xlfn.IFNA(ROUND(VLOOKUP(B90,#REF!,3,FALSE),2),0)</f>
        <v>#REF!</v>
      </c>
      <c r="H90" s="29"/>
      <c r="I90" s="35" t="e">
        <f>ROUND((SUM(G90:G92,G102)/1000),2)</f>
        <v>#REF!</v>
      </c>
      <c r="J90" s="36">
        <f>SUM('[1]2023 Budget Tables'!$D$66,'[1]2023 Budget Tables'!$D$71)</f>
        <v>2.2200000000000002</v>
      </c>
      <c r="K90" s="37" t="e">
        <f>I90-J90</f>
        <v>#REF!</v>
      </c>
    </row>
    <row r="91" spans="2:11" ht="12" customHeight="1" x14ac:dyDescent="0.2">
      <c r="B91" s="1" t="s">
        <v>33</v>
      </c>
      <c r="E91" s="14"/>
      <c r="G91" s="3" t="e">
        <f>_xlfn.IFNA(ROUND(VLOOKUP(B91,#REF!,3,FALSE),2),0)</f>
        <v>#REF!</v>
      </c>
      <c r="H91" s="29"/>
    </row>
    <row r="92" spans="2:11" ht="12" customHeight="1" x14ac:dyDescent="0.2">
      <c r="B92" s="1" t="s">
        <v>34</v>
      </c>
      <c r="E92" s="14"/>
      <c r="G92" s="3" t="e">
        <f>_xlfn.IFNA(ROUND(VLOOKUP(B92,#REF!,3,FALSE),2),0)</f>
        <v>#REF!</v>
      </c>
      <c r="H92" s="29"/>
    </row>
    <row r="93" spans="2:11" ht="12" customHeight="1" x14ac:dyDescent="0.2">
      <c r="B93" s="1" t="s">
        <v>35</v>
      </c>
      <c r="E93" s="14"/>
      <c r="G93" s="3" t="e">
        <f>_xlfn.IFNA(ROUND(VLOOKUP(B93,#REF!,3,FALSE),2),0)</f>
        <v>#REF!</v>
      </c>
      <c r="H93" s="29"/>
      <c r="I93" s="35" t="e">
        <f>ROUND((SUM(G93:G97)/1000),2)</f>
        <v>#REF!</v>
      </c>
      <c r="J93" s="36">
        <f>SUM('[1]2023 Budget Tables'!$D$67,'[1]2023 Budget Tables'!$D$72)</f>
        <v>0.28000000000000003</v>
      </c>
      <c r="K93" s="37" t="e">
        <f>I93-J93</f>
        <v>#REF!</v>
      </c>
    </row>
    <row r="94" spans="2:11" ht="12" customHeight="1" x14ac:dyDescent="0.2">
      <c r="B94" s="1" t="s">
        <v>1</v>
      </c>
      <c r="E94" s="14"/>
      <c r="G94" s="3" t="e">
        <f>_xlfn.IFNA(ROUND(VLOOKUP(B94,#REF!,3,FALSE),2),0)</f>
        <v>#REF!</v>
      </c>
      <c r="H94" s="29"/>
    </row>
    <row r="95" spans="2:11" ht="12" customHeight="1" x14ac:dyDescent="0.2">
      <c r="B95" s="1" t="s">
        <v>37</v>
      </c>
      <c r="E95" s="14"/>
      <c r="G95" s="3" t="e">
        <f>_xlfn.IFNA(ROUND(VLOOKUP(B95,#REF!,3,FALSE),2),0)</f>
        <v>#REF!</v>
      </c>
      <c r="H95" s="29"/>
    </row>
    <row r="96" spans="2:11" ht="12" customHeight="1" x14ac:dyDescent="0.2">
      <c r="B96" s="1" t="s">
        <v>40</v>
      </c>
      <c r="E96" s="14"/>
      <c r="G96" s="3" t="e">
        <f>_xlfn.IFNA(ROUND(VLOOKUP(B96,#REF!,3,FALSE),2),0)</f>
        <v>#REF!</v>
      </c>
      <c r="H96" s="29"/>
    </row>
    <row r="97" spans="2:11" ht="12" customHeight="1" x14ac:dyDescent="0.2">
      <c r="B97" s="1" t="s">
        <v>36</v>
      </c>
      <c r="E97" s="14"/>
      <c r="G97" s="3" t="e">
        <f>_xlfn.IFNA(ROUND(VLOOKUP(B97,#REF!,3,FALSE),2),0)</f>
        <v>#REF!</v>
      </c>
      <c r="H97" s="29"/>
    </row>
    <row r="98" spans="2:11" ht="12" customHeight="1" x14ac:dyDescent="0.2">
      <c r="B98" s="1" t="s">
        <v>9</v>
      </c>
      <c r="E98" s="14"/>
      <c r="G98" s="4" t="e">
        <f>_xlfn.IFNA(ROUND(VLOOKUP("Allocation of Common Operating",#REF!,3,FALSE),2),0)</f>
        <v>#REF!</v>
      </c>
      <c r="H98" s="29"/>
      <c r="I98" s="35" t="e">
        <f>ROUND((SUM(G98,G103)/1000),2)</f>
        <v>#REF!</v>
      </c>
      <c r="J98" s="36">
        <f>'[1]2023 Budget Tables'!$D$75</f>
        <v>2.2799999999999998</v>
      </c>
      <c r="K98" s="37" t="e">
        <f>I98-J98</f>
        <v>#REF!</v>
      </c>
    </row>
    <row r="99" spans="2:11" ht="12" customHeight="1" x14ac:dyDescent="0.2">
      <c r="B99" s="12" t="s">
        <v>21</v>
      </c>
      <c r="G99" s="6" t="e">
        <f>SUM(G87:G98)</f>
        <v>#REF!</v>
      </c>
      <c r="H99" s="29"/>
    </row>
    <row r="100" spans="2:11" ht="12" customHeight="1" x14ac:dyDescent="0.2">
      <c r="B100" s="12"/>
      <c r="G100" s="15"/>
      <c r="H100" s="29"/>
    </row>
    <row r="101" spans="2:11" ht="12" customHeight="1" x14ac:dyDescent="0.2">
      <c r="B101" s="9" t="str">
        <f>B21</f>
        <v>2nd Quarter Capital Budget:</v>
      </c>
      <c r="C101" s="12"/>
      <c r="H101" s="29"/>
    </row>
    <row r="102" spans="2:11" ht="12" customHeight="1" x14ac:dyDescent="0.2">
      <c r="B102" s="1" t="s">
        <v>29</v>
      </c>
      <c r="G102" s="2" t="e">
        <f>_xlfn.IFNA(ROUND(VLOOKUP(B102,#REF!,3,FALSE),2),0)</f>
        <v>#REF!</v>
      </c>
      <c r="H102" s="29" t="s">
        <v>73</v>
      </c>
    </row>
    <row r="103" spans="2:11" ht="12" customHeight="1" x14ac:dyDescent="0.2">
      <c r="B103" s="1" t="s">
        <v>17</v>
      </c>
      <c r="C103" s="12"/>
      <c r="G103" s="4" t="e">
        <f>_xlfn.IFNA(ROUND(VLOOKUP("Allocation of Common Capital",#REF!,3,FALSE),2),0)</f>
        <v>#REF!</v>
      </c>
      <c r="H103" s="29" t="s">
        <v>73</v>
      </c>
    </row>
    <row r="104" spans="2:11" ht="12" customHeight="1" x14ac:dyDescent="0.2">
      <c r="B104" s="12" t="s">
        <v>23</v>
      </c>
      <c r="C104" s="12"/>
      <c r="G104" s="6" t="e">
        <f>SUM(G102:G103)</f>
        <v>#REF!</v>
      </c>
      <c r="H104" s="29"/>
    </row>
    <row r="105" spans="2:11" ht="12" customHeight="1" x14ac:dyDescent="0.2">
      <c r="C105" s="12"/>
      <c r="H105" s="29"/>
    </row>
    <row r="106" spans="2:11" ht="12" customHeight="1" x14ac:dyDescent="0.2">
      <c r="C106" s="12" t="s">
        <v>25</v>
      </c>
      <c r="G106" s="6" t="e">
        <f>SUM(G99,G104)</f>
        <v>#REF!</v>
      </c>
      <c r="H106" s="29"/>
      <c r="I106" s="35" t="e">
        <f>ROUND((SUM(G106)/1000),2)</f>
        <v>#REF!</v>
      </c>
      <c r="J106" s="36">
        <f>'[1]2023 Budget Tables'!$D$76</f>
        <v>6.77</v>
      </c>
      <c r="K106" s="37" t="e">
        <f>I106-J106</f>
        <v>#REF!</v>
      </c>
    </row>
    <row r="107" spans="2:11" ht="12" customHeight="1" x14ac:dyDescent="0.25">
      <c r="G107" s="19"/>
      <c r="H107" s="29"/>
    </row>
    <row r="108" spans="2:11" ht="15" customHeight="1" x14ac:dyDescent="0.25">
      <c r="G108" s="19"/>
      <c r="H108" s="29"/>
    </row>
    <row r="109" spans="2:11" ht="15.75" x14ac:dyDescent="0.25">
      <c r="B109" s="80" t="s">
        <v>6</v>
      </c>
      <c r="C109" s="80"/>
      <c r="D109" s="80"/>
      <c r="E109" s="80"/>
      <c r="F109" s="80"/>
      <c r="G109" s="80"/>
      <c r="H109" s="29"/>
    </row>
    <row r="110" spans="2:11" ht="12" customHeight="1" x14ac:dyDescent="0.2">
      <c r="B110" s="81" t="s">
        <v>0</v>
      </c>
      <c r="C110" s="81"/>
      <c r="D110" s="81"/>
      <c r="E110" s="81"/>
      <c r="F110" s="81"/>
      <c r="G110" s="81"/>
      <c r="H110" s="29"/>
    </row>
    <row r="111" spans="2:11" ht="12" customHeight="1" x14ac:dyDescent="0.2">
      <c r="H111" s="29"/>
    </row>
    <row r="112" spans="2:11" ht="12" customHeight="1" x14ac:dyDescent="0.2">
      <c r="B112" s="9" t="str">
        <f>B5</f>
        <v>2nd Quarter Operating Budget:</v>
      </c>
      <c r="E112" s="20"/>
      <c r="F112" s="10"/>
      <c r="G112" s="8"/>
      <c r="H112" s="29"/>
    </row>
    <row r="113" spans="2:11" ht="12" customHeight="1" x14ac:dyDescent="0.2">
      <c r="B113" s="1" t="s">
        <v>5</v>
      </c>
      <c r="E113" s="14"/>
      <c r="F113" s="14"/>
      <c r="G113" s="2" t="e">
        <f>_xlfn.IFNA(ROUND(VLOOKUP(B113,#REF!,3,FALSE),2),0)</f>
        <v>#REF!</v>
      </c>
      <c r="H113" s="29"/>
      <c r="I113" s="35" t="e">
        <f>ROUND((SUM(G113:G115)/1000),2)</f>
        <v>#REF!</v>
      </c>
      <c r="J113" s="36">
        <f>SUM('[1]2023 Budget Tables'!$D$20,'[1]2023 Budget Tables'!$D$25)</f>
        <v>2.7399999999999998</v>
      </c>
      <c r="K113" s="37" t="e">
        <f>I113-J113</f>
        <v>#REF!</v>
      </c>
    </row>
    <row r="114" spans="2:11" ht="12" customHeight="1" x14ac:dyDescent="0.2">
      <c r="B114" s="1" t="s">
        <v>30</v>
      </c>
      <c r="E114" s="14"/>
      <c r="F114" s="14"/>
      <c r="G114" s="3" t="e">
        <f>_xlfn.IFNA(ROUND(VLOOKUP(B114,#REF!,3,FALSE),2),0)</f>
        <v>#REF!</v>
      </c>
      <c r="H114" s="29"/>
    </row>
    <row r="115" spans="2:11" ht="12" customHeight="1" x14ac:dyDescent="0.2">
      <c r="B115" s="1" t="s">
        <v>31</v>
      </c>
      <c r="E115" s="14"/>
      <c r="F115" s="14"/>
      <c r="G115" s="3" t="e">
        <f>_xlfn.IFNA(ROUND(VLOOKUP(B115,#REF!,3,FALSE),2),0)</f>
        <v>#REF!</v>
      </c>
      <c r="H115" s="29"/>
    </row>
    <row r="116" spans="2:11" ht="12" customHeight="1" x14ac:dyDescent="0.2">
      <c r="B116" s="1" t="s">
        <v>39</v>
      </c>
      <c r="E116" s="14"/>
      <c r="F116" s="14"/>
      <c r="G116" s="3" t="e">
        <f>_xlfn.IFNA(ROUND(VLOOKUP(B116,#REF!,3,FALSE),2),0)</f>
        <v>#REF!</v>
      </c>
      <c r="H116" s="29"/>
      <c r="I116" s="35" t="e">
        <f>ROUND((SUM(G116:G119,G129)/1000),2)</f>
        <v>#REF!</v>
      </c>
      <c r="J116" s="36">
        <f>SUM('[1]2023 Budget Tables'!$D$21,'[1]2023 Budget Tables'!$D$26)</f>
        <v>9.4</v>
      </c>
      <c r="K116" s="37" t="e">
        <f>I116-J116</f>
        <v>#REF!</v>
      </c>
    </row>
    <row r="117" spans="2:11" ht="12" customHeight="1" x14ac:dyDescent="0.2">
      <c r="B117" s="1" t="s">
        <v>32</v>
      </c>
      <c r="E117" s="14"/>
      <c r="F117" s="14"/>
      <c r="G117" s="3" t="e">
        <f>_xlfn.IFNA(ROUND(VLOOKUP(B117,#REF!,3,FALSE),2),0)</f>
        <v>#REF!</v>
      </c>
      <c r="H117" s="29"/>
    </row>
    <row r="118" spans="2:11" ht="12" customHeight="1" x14ac:dyDescent="0.2">
      <c r="B118" s="1" t="s">
        <v>33</v>
      </c>
      <c r="E118" s="14"/>
      <c r="F118" s="14"/>
      <c r="G118" s="3" t="e">
        <f>_xlfn.IFNA(ROUND(VLOOKUP(B118,#REF!,3,FALSE),2),0)</f>
        <v>#REF!</v>
      </c>
      <c r="H118" s="29"/>
    </row>
    <row r="119" spans="2:11" ht="12" customHeight="1" x14ac:dyDescent="0.2">
      <c r="B119" s="1" t="s">
        <v>34</v>
      </c>
      <c r="E119" s="14"/>
      <c r="F119" s="14"/>
      <c r="G119" s="3" t="e">
        <f>_xlfn.IFNA(ROUND(VLOOKUP(B119,#REF!,3,FALSE),2),0)</f>
        <v>#REF!</v>
      </c>
      <c r="H119" s="29"/>
      <c r="I119" s="35" t="e">
        <f>ROUND((SUM(G120:G124)/1000),2)</f>
        <v>#REF!</v>
      </c>
      <c r="J119" s="36">
        <f>SUM('[1]2023 Budget Tables'!$D$22,'[1]2023 Budget Tables'!$D$27)</f>
        <v>0.66</v>
      </c>
      <c r="K119" s="37" t="e">
        <f>I119-J119</f>
        <v>#REF!</v>
      </c>
    </row>
    <row r="120" spans="2:11" ht="12" customHeight="1" x14ac:dyDescent="0.2">
      <c r="B120" s="1" t="s">
        <v>35</v>
      </c>
      <c r="E120" s="14"/>
      <c r="F120" s="14"/>
      <c r="G120" s="3" t="e">
        <f>_xlfn.IFNA(ROUND(VLOOKUP(B120,#REF!,3,FALSE),2),0)</f>
        <v>#REF!</v>
      </c>
      <c r="H120" s="29"/>
    </row>
    <row r="121" spans="2:11" ht="12" customHeight="1" x14ac:dyDescent="0.2">
      <c r="B121" s="1" t="s">
        <v>1</v>
      </c>
      <c r="E121" s="14"/>
      <c r="F121" s="14"/>
      <c r="G121" s="3" t="e">
        <f>_xlfn.IFNA(ROUND(VLOOKUP(B121,#REF!,3,FALSE),2),0)</f>
        <v>#REF!</v>
      </c>
      <c r="H121" s="29"/>
    </row>
    <row r="122" spans="2:11" ht="12" customHeight="1" x14ac:dyDescent="0.2">
      <c r="B122" s="1" t="s">
        <v>37</v>
      </c>
      <c r="E122" s="14"/>
      <c r="F122" s="14"/>
      <c r="G122" s="3" t="e">
        <f>_xlfn.IFNA(ROUND(VLOOKUP(B122,#REF!,3,FALSE),2),0)</f>
        <v>#REF!</v>
      </c>
      <c r="H122" s="29"/>
    </row>
    <row r="123" spans="2:11" ht="12" customHeight="1" x14ac:dyDescent="0.2">
      <c r="B123" s="1" t="s">
        <v>40</v>
      </c>
      <c r="E123" s="14"/>
      <c r="F123" s="14"/>
      <c r="G123" s="3" t="e">
        <f>_xlfn.IFNA(ROUND(VLOOKUP(B123,#REF!,3,FALSE),2),0)</f>
        <v>#REF!</v>
      </c>
      <c r="H123" s="29"/>
    </row>
    <row r="124" spans="2:11" ht="12" customHeight="1" x14ac:dyDescent="0.2">
      <c r="B124" s="1" t="s">
        <v>36</v>
      </c>
      <c r="E124" s="14"/>
      <c r="G124" s="3" t="e">
        <f>_xlfn.IFNA(ROUND(VLOOKUP(B124,#REF!,3,FALSE),2),0)</f>
        <v>#REF!</v>
      </c>
      <c r="H124" s="29"/>
    </row>
    <row r="125" spans="2:11" ht="12" customHeight="1" x14ac:dyDescent="0.2">
      <c r="B125" s="1" t="s">
        <v>9</v>
      </c>
      <c r="E125" s="14"/>
      <c r="F125" s="14"/>
      <c r="G125" s="4" t="e">
        <f>_xlfn.IFNA(ROUND(VLOOKUP("Allocation of Common Operating",#REF!,3,FALSE),2),0)</f>
        <v>#REF!</v>
      </c>
      <c r="H125" s="29"/>
      <c r="I125" s="35" t="e">
        <f>ROUND((SUM(G125,G130)/1000),2)</f>
        <v>#REF!</v>
      </c>
      <c r="J125" s="36">
        <f>'[1]2023 Budget Tables'!$D$30</f>
        <v>10.36</v>
      </c>
      <c r="K125" s="37" t="e">
        <f>I125-J125</f>
        <v>#REF!</v>
      </c>
    </row>
    <row r="126" spans="2:11" x14ac:dyDescent="0.2">
      <c r="B126" s="12" t="s">
        <v>26</v>
      </c>
      <c r="C126" s="12"/>
      <c r="E126" s="14"/>
      <c r="F126" s="20"/>
      <c r="G126" s="6" t="e">
        <f>SUM(G113:G125)</f>
        <v>#REF!</v>
      </c>
      <c r="H126" s="29"/>
    </row>
    <row r="127" spans="2:11" ht="12" customHeight="1" x14ac:dyDescent="0.2">
      <c r="F127" s="14"/>
      <c r="H127" s="29"/>
    </row>
    <row r="128" spans="2:11" ht="12" customHeight="1" x14ac:dyDescent="0.2">
      <c r="B128" s="9" t="str">
        <f>B21</f>
        <v>2nd Quarter Capital Budget:</v>
      </c>
      <c r="C128" s="12"/>
      <c r="H128" s="29"/>
    </row>
    <row r="129" spans="2:11" ht="12" customHeight="1" x14ac:dyDescent="0.2">
      <c r="B129" s="1" t="s">
        <v>29</v>
      </c>
      <c r="G129" s="2" t="e">
        <f>_xlfn.IFNA(ROUND(VLOOKUP(B129,#REF!,3,FALSE),2),0)</f>
        <v>#REF!</v>
      </c>
      <c r="H129" s="29"/>
    </row>
    <row r="130" spans="2:11" ht="12" customHeight="1" x14ac:dyDescent="0.2">
      <c r="B130" s="1" t="s">
        <v>17</v>
      </c>
      <c r="C130" s="12"/>
      <c r="G130" s="4" t="e">
        <f>_xlfn.IFNA(ROUND(VLOOKUP("Allocation of Common Capital",#REF!,3,FALSE),2),0)</f>
        <v>#REF!</v>
      </c>
      <c r="H130" s="29" t="s">
        <v>73</v>
      </c>
    </row>
    <row r="131" spans="2:11" ht="12" customHeight="1" x14ac:dyDescent="0.2">
      <c r="B131" s="12" t="s">
        <v>27</v>
      </c>
      <c r="C131" s="12"/>
      <c r="G131" s="6" t="e">
        <f>SUM(G129:G130)</f>
        <v>#REF!</v>
      </c>
      <c r="H131" s="29"/>
    </row>
    <row r="132" spans="2:11" ht="12" customHeight="1" x14ac:dyDescent="0.2">
      <c r="C132" s="12"/>
      <c r="H132" s="29"/>
    </row>
    <row r="133" spans="2:11" x14ac:dyDescent="0.2">
      <c r="C133" s="12" t="s">
        <v>28</v>
      </c>
      <c r="G133" s="6" t="e">
        <f>SUM(G126,G131)</f>
        <v>#REF!</v>
      </c>
      <c r="H133" s="29"/>
      <c r="I133" s="35" t="e">
        <f>ROUND((SUM(G133)/1000),2)</f>
        <v>#REF!</v>
      </c>
      <c r="J133" s="36">
        <f>'[1]2023 Budget Tables'!$D$31</f>
        <v>23.159999999999997</v>
      </c>
      <c r="K133" s="37" t="e">
        <f>I133-J133</f>
        <v>#REF!</v>
      </c>
    </row>
    <row r="134" spans="2:11" x14ac:dyDescent="0.2">
      <c r="C134" s="12"/>
      <c r="G134" s="6"/>
      <c r="H134" s="31"/>
    </row>
    <row r="135" spans="2:11" x14ac:dyDescent="0.2">
      <c r="B135" s="12"/>
      <c r="F135" s="20"/>
      <c r="G135" s="21"/>
      <c r="H135" s="32"/>
    </row>
    <row r="136" spans="2:11" ht="15.75" x14ac:dyDescent="0.25">
      <c r="B136" s="80" t="s">
        <v>67</v>
      </c>
      <c r="C136" s="80"/>
      <c r="D136" s="80"/>
      <c r="E136" s="80"/>
      <c r="F136" s="80"/>
      <c r="G136" s="80"/>
      <c r="H136" s="29"/>
    </row>
    <row r="137" spans="2:11" ht="12" customHeight="1" x14ac:dyDescent="0.2">
      <c r="B137" s="81" t="s">
        <v>0</v>
      </c>
      <c r="C137" s="81"/>
      <c r="D137" s="81"/>
      <c r="E137" s="81"/>
      <c r="F137" s="81"/>
      <c r="G137" s="81"/>
      <c r="H137" s="29"/>
    </row>
    <row r="138" spans="2:11" ht="12" customHeight="1" x14ac:dyDescent="0.25">
      <c r="E138" s="16"/>
      <c r="F138" s="17"/>
      <c r="H138" s="29"/>
    </row>
    <row r="139" spans="2:11" ht="12" customHeight="1" x14ac:dyDescent="0.2">
      <c r="B139" s="9" t="str">
        <f>B5</f>
        <v>2nd Quarter Operating Budget:</v>
      </c>
      <c r="G139" s="8"/>
      <c r="H139" s="29"/>
    </row>
    <row r="140" spans="2:11" ht="12" customHeight="1" x14ac:dyDescent="0.2">
      <c r="B140" s="1" t="s">
        <v>5</v>
      </c>
      <c r="E140" s="18"/>
      <c r="G140" s="2">
        <f>_xlfn.IFNA(ROUND(VLOOKUP(B140,'CCP PowerPlan Report'!A:F,3,FALSE),2),0)</f>
        <v>0</v>
      </c>
      <c r="H140" s="29"/>
      <c r="I140" s="35">
        <f>ROUND((SUM(G140:G142)/1000),2)</f>
        <v>0</v>
      </c>
      <c r="J140" s="36">
        <f>SUM('[1]2023 Budget Tables'!$D$80,'[1]2023 Budget Tables'!$D$85)</f>
        <v>0</v>
      </c>
      <c r="K140" s="37">
        <f>I140-J140</f>
        <v>0</v>
      </c>
    </row>
    <row r="141" spans="2:11" ht="12" customHeight="1" x14ac:dyDescent="0.2">
      <c r="B141" s="1" t="s">
        <v>30</v>
      </c>
      <c r="E141" s="14"/>
      <c r="G141" s="3">
        <f>_xlfn.IFNA(ROUND(VLOOKUP(B141,'CCP PowerPlan Report'!A:F,3,FALSE),2),0)</f>
        <v>0</v>
      </c>
      <c r="H141" s="29"/>
    </row>
    <row r="142" spans="2:11" ht="12" customHeight="1" x14ac:dyDescent="0.2">
      <c r="B142" s="1" t="s">
        <v>31</v>
      </c>
      <c r="E142" s="14"/>
      <c r="G142" s="3">
        <f>_xlfn.IFNA(ROUND(VLOOKUP(B142,'CCP PowerPlan Report'!A:F,3,FALSE),2),0)</f>
        <v>0</v>
      </c>
      <c r="H142" s="29"/>
    </row>
    <row r="143" spans="2:11" ht="12" customHeight="1" x14ac:dyDescent="0.2">
      <c r="B143" s="1" t="s">
        <v>32</v>
      </c>
      <c r="E143" s="14"/>
      <c r="G143" s="3">
        <f>_xlfn.IFNA(ROUND(VLOOKUP(B143,'CCP PowerPlan Report'!A:F,3,FALSE),2),0)</f>
        <v>0</v>
      </c>
      <c r="H143" s="29"/>
      <c r="I143" s="35">
        <f>ROUND((SUM(G143:G145,G155)/1000),2)</f>
        <v>0</v>
      </c>
      <c r="J143" s="36">
        <f>SUM('[1]2023 Budget Tables'!$D$81,'[1]2023 Budget Tables'!$D$86)</f>
        <v>0</v>
      </c>
      <c r="K143" s="37">
        <f>I143-J143</f>
        <v>0</v>
      </c>
    </row>
    <row r="144" spans="2:11" ht="12" customHeight="1" x14ac:dyDescent="0.2">
      <c r="B144" s="1" t="s">
        <v>33</v>
      </c>
      <c r="E144" s="14"/>
      <c r="G144" s="3">
        <f>_xlfn.IFNA(ROUND(VLOOKUP(B144,'CCP PowerPlan Report'!A:F,3,FALSE),2),0)</f>
        <v>0</v>
      </c>
      <c r="H144" s="29"/>
    </row>
    <row r="145" spans="2:11" ht="12" customHeight="1" x14ac:dyDescent="0.2">
      <c r="B145" s="1" t="s">
        <v>34</v>
      </c>
      <c r="E145" s="14"/>
      <c r="G145" s="3">
        <f>_xlfn.IFNA(ROUND(VLOOKUP(B145,'CCP PowerPlan Report'!A:F,3,FALSE),2),0)</f>
        <v>0</v>
      </c>
      <c r="H145" s="29"/>
    </row>
    <row r="146" spans="2:11" ht="12" customHeight="1" x14ac:dyDescent="0.2">
      <c r="B146" s="1" t="s">
        <v>35</v>
      </c>
      <c r="E146" s="14"/>
      <c r="G146" s="3">
        <f>_xlfn.IFNA(ROUND(VLOOKUP(B146,'CCP PowerPlan Report'!A:F,3,FALSE),2),0)</f>
        <v>0</v>
      </c>
      <c r="H146" s="29"/>
      <c r="I146" s="35">
        <f>ROUND((SUM(G146:G150)/1000),2)</f>
        <v>0</v>
      </c>
      <c r="J146" s="36">
        <f>SUM('[1]2023 Budget Tables'!$D$82,'[1]2023 Budget Tables'!$D$87)</f>
        <v>0</v>
      </c>
      <c r="K146" s="37">
        <f>I146-J146</f>
        <v>0</v>
      </c>
    </row>
    <row r="147" spans="2:11" ht="12" customHeight="1" x14ac:dyDescent="0.2">
      <c r="B147" s="1" t="s">
        <v>1</v>
      </c>
      <c r="E147" s="14"/>
      <c r="G147" s="3">
        <f>_xlfn.IFNA(ROUND(VLOOKUP(B147,'CCP PowerPlan Report'!A:F,3,FALSE),2),0)</f>
        <v>0</v>
      </c>
      <c r="H147" s="29"/>
    </row>
    <row r="148" spans="2:11" ht="12" customHeight="1" x14ac:dyDescent="0.2">
      <c r="B148" s="1" t="s">
        <v>37</v>
      </c>
      <c r="E148" s="14"/>
      <c r="G148" s="3">
        <f>_xlfn.IFNA(ROUND(VLOOKUP(B148,'CCP PowerPlan Report'!A:F,3,FALSE),2),0)</f>
        <v>0</v>
      </c>
      <c r="H148" s="29"/>
    </row>
    <row r="149" spans="2:11" ht="12" customHeight="1" x14ac:dyDescent="0.2">
      <c r="B149" s="1" t="s">
        <v>40</v>
      </c>
      <c r="E149" s="14"/>
      <c r="G149" s="3">
        <f>_xlfn.IFNA(ROUND(VLOOKUP(B149,'CCP PowerPlan Report'!A:F,3,FALSE),2),0)</f>
        <v>0</v>
      </c>
      <c r="H149" s="29"/>
    </row>
    <row r="150" spans="2:11" ht="12" customHeight="1" x14ac:dyDescent="0.2">
      <c r="B150" s="1" t="s">
        <v>36</v>
      </c>
      <c r="E150" s="14"/>
      <c r="G150" s="3">
        <f>_xlfn.IFNA(ROUND(VLOOKUP(B150,'CCP PowerPlan Report'!A:F,3,FALSE),2),0)</f>
        <v>0</v>
      </c>
      <c r="H150" s="29"/>
    </row>
    <row r="151" spans="2:11" ht="12" customHeight="1" x14ac:dyDescent="0.2">
      <c r="B151" s="1" t="s">
        <v>9</v>
      </c>
      <c r="E151" s="14"/>
      <c r="G151" s="4">
        <f>_xlfn.IFNA(ROUND(VLOOKUP("Allocation of Common Operating",'CCP PowerPlan Report'!A:F,3,FALSE),2),0)</f>
        <v>0</v>
      </c>
      <c r="H151" s="29"/>
      <c r="I151" s="35">
        <f>ROUND((SUM(G151,G156)/1000),2)</f>
        <v>0</v>
      </c>
      <c r="J151" s="36">
        <f>'[1]2023 Budget Tables'!$D$90</f>
        <v>7.0000000000000007E-2</v>
      </c>
      <c r="K151" s="37">
        <f>I151-J151</f>
        <v>-7.0000000000000007E-2</v>
      </c>
    </row>
    <row r="152" spans="2:11" ht="12" customHeight="1" x14ac:dyDescent="0.2">
      <c r="B152" s="12" t="s">
        <v>69</v>
      </c>
      <c r="G152" s="6">
        <f>SUM(G140:G151)</f>
        <v>0</v>
      </c>
      <c r="H152" s="29"/>
    </row>
    <row r="153" spans="2:11" ht="12" customHeight="1" x14ac:dyDescent="0.2">
      <c r="B153" s="12"/>
      <c r="G153" s="15"/>
      <c r="H153" s="29"/>
    </row>
    <row r="154" spans="2:11" ht="12" customHeight="1" x14ac:dyDescent="0.2">
      <c r="B154" s="9" t="str">
        <f>B21</f>
        <v>2nd Quarter Capital Budget:</v>
      </c>
      <c r="C154" s="12"/>
      <c r="H154" s="29"/>
    </row>
    <row r="155" spans="2:11" ht="12" customHeight="1" x14ac:dyDescent="0.2">
      <c r="B155" s="1" t="s">
        <v>29</v>
      </c>
      <c r="G155" s="2">
        <f>_xlfn.IFNA(ROUND(VLOOKUP(B155,'CCP PowerPlan Report'!A:F,3,FALSE),2),0)</f>
        <v>0</v>
      </c>
      <c r="H155" s="29"/>
    </row>
    <row r="156" spans="2:11" ht="12" customHeight="1" x14ac:dyDescent="0.2">
      <c r="B156" s="1" t="s">
        <v>17</v>
      </c>
      <c r="C156" s="12"/>
      <c r="G156" s="4">
        <f>_xlfn.IFNA(ROUND(VLOOKUP("Allocation of Common Capital",'CCP PowerPlan Report'!A:F,3,FALSE),2),0)</f>
        <v>0</v>
      </c>
      <c r="H156" s="29" t="s">
        <v>73</v>
      </c>
    </row>
    <row r="157" spans="2:11" ht="12" customHeight="1" x14ac:dyDescent="0.2">
      <c r="B157" s="12" t="s">
        <v>70</v>
      </c>
      <c r="C157" s="12"/>
      <c r="G157" s="6">
        <f>SUM(G156:G156)</f>
        <v>0</v>
      </c>
      <c r="H157" s="29"/>
    </row>
    <row r="158" spans="2:11" ht="12" customHeight="1" x14ac:dyDescent="0.2">
      <c r="C158" s="12"/>
      <c r="H158" s="29"/>
    </row>
    <row r="159" spans="2:11" ht="12" customHeight="1" x14ac:dyDescent="0.2">
      <c r="C159" s="12" t="s">
        <v>68</v>
      </c>
      <c r="G159" s="6">
        <f>SUM(G152,G157)</f>
        <v>0</v>
      </c>
      <c r="H159" s="29"/>
      <c r="I159" s="35">
        <f>ROUND((SUM(G159)/1000),2)</f>
        <v>0</v>
      </c>
      <c r="J159" s="36">
        <f>'[1]2023 Budget Tables'!$D$91</f>
        <v>7.0000000000000007E-2</v>
      </c>
      <c r="K159" s="37">
        <f>I159-J159</f>
        <v>-7.0000000000000007E-2</v>
      </c>
    </row>
    <row r="160" spans="2:11" x14ac:dyDescent="0.2">
      <c r="B160" s="12"/>
      <c r="F160" s="20"/>
      <c r="G160" s="21"/>
      <c r="H160" s="32"/>
    </row>
    <row r="161" spans="1:11" s="24" customFormat="1" x14ac:dyDescent="0.2">
      <c r="A161" s="22"/>
      <c r="B161" s="22"/>
      <c r="C161" s="22"/>
      <c r="D161" s="22"/>
      <c r="E161" s="52" t="s">
        <v>65</v>
      </c>
      <c r="F161" s="22"/>
      <c r="G161" s="23" t="e">
        <f>G18-G45-G72-G98-G125-G151</f>
        <v>#REF!</v>
      </c>
      <c r="H161" s="33"/>
      <c r="I161" s="38"/>
      <c r="J161" s="39"/>
      <c r="K161" s="40"/>
    </row>
    <row r="162" spans="1:11" s="24" customFormat="1" x14ac:dyDescent="0.2">
      <c r="A162" s="22"/>
      <c r="B162" s="22"/>
      <c r="C162" s="22"/>
      <c r="D162" s="22"/>
      <c r="E162" s="52" t="s">
        <v>66</v>
      </c>
      <c r="F162" s="22"/>
      <c r="G162" s="23" t="e">
        <f>G22-G50-G77-G103-G130-G156</f>
        <v>#REF!</v>
      </c>
      <c r="H162" s="33"/>
      <c r="I162" s="38"/>
      <c r="J162" s="39"/>
      <c r="K162" s="37"/>
    </row>
    <row r="163" spans="1:11" s="24" customFormat="1" x14ac:dyDescent="0.2">
      <c r="A163" s="22"/>
      <c r="B163" s="22"/>
      <c r="C163" s="22"/>
      <c r="D163" s="22"/>
      <c r="E163" s="22"/>
      <c r="F163" s="22"/>
      <c r="G163" s="23"/>
      <c r="H163" s="33"/>
      <c r="I163" s="38"/>
      <c r="J163" s="39"/>
      <c r="K163" s="40"/>
    </row>
    <row r="164" spans="1:11" s="24" customFormat="1" x14ac:dyDescent="0.2">
      <c r="A164" s="22"/>
      <c r="B164" s="22"/>
      <c r="C164" s="22"/>
      <c r="D164" s="22"/>
      <c r="E164" s="22"/>
      <c r="F164" s="22"/>
      <c r="G164" s="25"/>
      <c r="H164" s="34"/>
      <c r="I164" s="38"/>
      <c r="J164" s="39"/>
      <c r="K164" s="40"/>
    </row>
    <row r="165" spans="1:11" s="63" customFormat="1" ht="34.15" customHeight="1" x14ac:dyDescent="0.2">
      <c r="A165" s="77" t="s">
        <v>74</v>
      </c>
      <c r="B165" s="77"/>
      <c r="C165" s="77"/>
      <c r="D165" s="77"/>
      <c r="E165" s="77"/>
      <c r="F165" s="77"/>
      <c r="G165" s="77"/>
      <c r="H165" s="78"/>
      <c r="I165" s="60"/>
      <c r="J165" s="61"/>
      <c r="K165" s="62"/>
    </row>
  </sheetData>
  <mergeCells count="15">
    <mergeCell ref="L9:M14"/>
    <mergeCell ref="A165:H165"/>
    <mergeCell ref="B56:G56"/>
    <mergeCell ref="B2:G2"/>
    <mergeCell ref="B3:G3"/>
    <mergeCell ref="I4:K4"/>
    <mergeCell ref="B30:G30"/>
    <mergeCell ref="B31:G31"/>
    <mergeCell ref="B136:G136"/>
    <mergeCell ref="B137:G137"/>
    <mergeCell ref="B57:G57"/>
    <mergeCell ref="B83:G83"/>
    <mergeCell ref="B84:G84"/>
    <mergeCell ref="B109:G109"/>
    <mergeCell ref="B110:G110"/>
  </mergeCells>
  <conditionalFormatting sqref="K1:K3 K6:K43 K45:K96">
    <cfRule type="cellIs" dxfId="11" priority="7" operator="lessThan">
      <formula>0</formula>
    </cfRule>
    <cfRule type="cellIs" dxfId="10" priority="8" operator="greaterThan">
      <formula>0</formula>
    </cfRule>
  </conditionalFormatting>
  <conditionalFormatting sqref="K98:K149 K151:K1048576">
    <cfRule type="cellIs" dxfId="9" priority="1" operator="lessThan">
      <formula>0</formula>
    </cfRule>
    <cfRule type="cellIs" dxfId="8" priority="2" operator="greaterThan">
      <formula>0</formula>
    </cfRule>
  </conditionalFormatting>
  <printOptions horizontalCentered="1"/>
  <pageMargins left="0.5" right="0.5" top="1.25" bottom="0.75" header="0.5" footer="0.5"/>
  <pageSetup scale="42" orientation="portrait" r:id="rId1"/>
  <headerFooter alignWithMargins="0">
    <oddHeader>&amp;C&amp;"Times New Roman,Bold"&amp;12Universal Service Administrative Company 
&amp;"Times New Roman,Regular"  2nd Quarter 2023 Budget
&amp;R&amp;"Aptos"&amp;14&amp;K000000 A&amp;1#_x000D_&amp;"Arialri"&amp;10&amp;K000000&amp;"Times New Roman,Regular"Available for Public Use
Appendix M01
 2Q2023
Page &amp;P of &amp;N</oddHeader>
    <oddFooter>&amp;L&amp;"Times New Roman,Regular"USAC&amp;R&amp;"Times New Roman,Regular"January ##, 2022</oddFooter>
  </headerFooter>
  <rowBreaks count="2" manualBreakCount="2">
    <brk id="53" min="1" max="6" man="1"/>
    <brk id="10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162"/>
  <sheetViews>
    <sheetView showGridLines="0" zoomScale="115" zoomScaleNormal="115" zoomScaleSheetLayoutView="110" workbookViewId="0">
      <selection activeCell="E40" sqref="E40"/>
    </sheetView>
  </sheetViews>
  <sheetFormatPr defaultColWidth="8.7109375" defaultRowHeight="12.75" x14ac:dyDescent="0.2"/>
  <cols>
    <col min="1" max="1" width="9.7109375" style="1" customWidth="1"/>
    <col min="2" max="2" width="8.7109375" style="1"/>
    <col min="3" max="3" width="13.7109375" style="1" customWidth="1"/>
    <col min="4" max="4" width="3.7109375" style="1" customWidth="1"/>
    <col min="5" max="5" width="11.28515625" style="1" customWidth="1"/>
    <col min="6" max="6" width="20.7109375" style="1" customWidth="1"/>
    <col min="7" max="7" width="18.7109375" style="3" customWidth="1"/>
    <col min="8" max="8" width="18.7109375" style="30" customWidth="1"/>
    <col min="9" max="9" width="16.7109375" style="35" customWidth="1"/>
    <col min="10" max="10" width="16.7109375" style="36" customWidth="1"/>
    <col min="11" max="11" width="16.7109375" style="37" customWidth="1"/>
    <col min="12" max="16384" width="8.7109375" style="7"/>
  </cols>
  <sheetData>
    <row r="1" spans="2:13" x14ac:dyDescent="0.2">
      <c r="I1" s="49"/>
      <c r="J1" s="50"/>
      <c r="K1" s="51"/>
    </row>
    <row r="2" spans="2:13" ht="15" customHeight="1" x14ac:dyDescent="0.25">
      <c r="B2" s="80" t="s">
        <v>4</v>
      </c>
      <c r="C2" s="80"/>
      <c r="D2" s="80"/>
      <c r="E2" s="80"/>
      <c r="F2" s="80"/>
      <c r="G2" s="80"/>
      <c r="H2" s="26"/>
    </row>
    <row r="3" spans="2:13" ht="12" customHeight="1" x14ac:dyDescent="0.2">
      <c r="B3" s="81" t="s">
        <v>0</v>
      </c>
      <c r="C3" s="81"/>
      <c r="D3" s="81"/>
      <c r="E3" s="81"/>
      <c r="F3" s="81"/>
      <c r="G3" s="81"/>
      <c r="H3" s="27"/>
    </row>
    <row r="4" spans="2:13" ht="12" customHeight="1" x14ac:dyDescent="0.2">
      <c r="G4" s="8"/>
      <c r="H4" s="28"/>
      <c r="I4" s="82" t="s">
        <v>41</v>
      </c>
      <c r="J4" s="83"/>
      <c r="K4" s="84"/>
    </row>
    <row r="5" spans="2:13" ht="12" customHeight="1" x14ac:dyDescent="0.2">
      <c r="B5" s="9" t="s">
        <v>50</v>
      </c>
      <c r="G5" s="8"/>
      <c r="H5" s="28"/>
      <c r="I5" s="35" t="s">
        <v>47</v>
      </c>
      <c r="J5" s="36" t="s">
        <v>42</v>
      </c>
      <c r="K5" s="37" t="s">
        <v>43</v>
      </c>
    </row>
    <row r="6" spans="2:13" ht="12" customHeight="1" x14ac:dyDescent="0.2">
      <c r="B6" s="1" t="s">
        <v>5</v>
      </c>
      <c r="E6" s="10"/>
      <c r="F6" s="10"/>
      <c r="G6" s="2" t="e">
        <f>_xlfn.IFNA(ROUND(VLOOKUP(B6,#REF!,4,FALSE),2),0)</f>
        <v>#REF!</v>
      </c>
      <c r="H6" s="29"/>
      <c r="I6" s="35" t="e">
        <f>ROUND((SUM(G6:G8)/1000),2)</f>
        <v>#REF!</v>
      </c>
      <c r="J6" s="36">
        <f>'[2]2023 Budget Tables'!$E$12</f>
        <v>15.7</v>
      </c>
      <c r="K6" s="37" t="e">
        <f>I6-J6</f>
        <v>#REF!</v>
      </c>
    </row>
    <row r="7" spans="2:13" ht="12" customHeight="1" x14ac:dyDescent="0.2">
      <c r="B7" s="1" t="s">
        <v>30</v>
      </c>
      <c r="G7" s="3" t="e">
        <f>_xlfn.IFNA(ROUND(VLOOKUP(B7,#REF!,4,FALSE),2),0)</f>
        <v>#REF!</v>
      </c>
      <c r="H7" s="29"/>
    </row>
    <row r="8" spans="2:13" ht="12" customHeight="1" x14ac:dyDescent="0.2">
      <c r="B8" s="1" t="s">
        <v>31</v>
      </c>
      <c r="G8" s="3" t="e">
        <f>_xlfn.IFNA(ROUND(VLOOKUP(B8,#REF!,4,FALSE),2),0)</f>
        <v>#REF!</v>
      </c>
      <c r="H8" s="29"/>
    </row>
    <row r="9" spans="2:13" ht="12" customHeight="1" x14ac:dyDescent="0.2">
      <c r="B9" s="1" t="s">
        <v>32</v>
      </c>
      <c r="G9" s="3" t="e">
        <f>_xlfn.IFNA(ROUND(VLOOKUP(B9,#REF!,4,FALSE),2),0)</f>
        <v>#REF!</v>
      </c>
      <c r="H9" s="29"/>
      <c r="I9" s="35" t="e">
        <f>ROUND((SUM(G9:G11)/1000),2)</f>
        <v>#REF!</v>
      </c>
      <c r="J9" s="36">
        <f>'[2]2023 Budget Tables'!$E$13</f>
        <v>8.8699999999999992</v>
      </c>
      <c r="K9" s="37" t="e">
        <f>I9-J9</f>
        <v>#REF!</v>
      </c>
      <c r="L9" s="75" t="s">
        <v>72</v>
      </c>
      <c r="M9" s="76"/>
    </row>
    <row r="10" spans="2:13" ht="12" customHeight="1" x14ac:dyDescent="0.2">
      <c r="B10" s="1" t="s">
        <v>33</v>
      </c>
      <c r="G10" s="3" t="e">
        <f>_xlfn.IFNA(ROUND(VLOOKUP(B10,#REF!,4,FALSE),2),0)</f>
        <v>#REF!</v>
      </c>
      <c r="H10" s="29"/>
      <c r="L10" s="75"/>
      <c r="M10" s="76"/>
    </row>
    <row r="11" spans="2:13" ht="12" customHeight="1" x14ac:dyDescent="0.2">
      <c r="B11" s="1" t="s">
        <v>34</v>
      </c>
      <c r="G11" s="3" t="e">
        <f>_xlfn.IFNA(ROUND(VLOOKUP(B11,#REF!,4,FALSE),2),0)</f>
        <v>#REF!</v>
      </c>
      <c r="H11" s="29"/>
      <c r="L11" s="75"/>
      <c r="M11" s="76"/>
    </row>
    <row r="12" spans="2:13" ht="12" customHeight="1" x14ac:dyDescent="0.2">
      <c r="B12" s="1" t="s">
        <v>35</v>
      </c>
      <c r="G12" s="3" t="e">
        <f>_xlfn.IFNA(ROUND(VLOOKUP(B12,#REF!,4,FALSE),2),0)</f>
        <v>#REF!</v>
      </c>
      <c r="H12" s="29"/>
      <c r="I12" s="35" t="e">
        <f>ROUND((SUM(G12:G17,G22)/1000),2)</f>
        <v>#REF!</v>
      </c>
      <c r="J12" s="36">
        <f>'[2]2023 Budget Tables'!$E$14</f>
        <v>8.34</v>
      </c>
      <c r="K12" s="37" t="e">
        <f>I12-J12</f>
        <v>#REF!</v>
      </c>
      <c r="L12" s="75"/>
      <c r="M12" s="76"/>
    </row>
    <row r="13" spans="2:13" ht="12" customHeight="1" x14ac:dyDescent="0.2">
      <c r="B13" s="11" t="s">
        <v>1</v>
      </c>
      <c r="G13" s="3" t="e">
        <f>_xlfn.IFNA(ROUND(VLOOKUP(B13,#REF!,4,FALSE),2),0)</f>
        <v>#REF!</v>
      </c>
      <c r="H13" s="29"/>
      <c r="L13" s="65"/>
      <c r="M13" s="66"/>
    </row>
    <row r="14" spans="2:13" ht="12" customHeight="1" x14ac:dyDescent="0.2">
      <c r="B14" s="1" t="s">
        <v>37</v>
      </c>
      <c r="G14" s="3" t="e">
        <f>_xlfn.IFNA(ROUND(VLOOKUP(B14,#REF!,4,FALSE),2),0)</f>
        <v>#REF!</v>
      </c>
      <c r="H14" s="29"/>
      <c r="L14" s="65"/>
      <c r="M14" s="66"/>
    </row>
    <row r="15" spans="2:13" ht="12" customHeight="1" x14ac:dyDescent="0.2">
      <c r="B15" s="1" t="s">
        <v>40</v>
      </c>
      <c r="G15" s="3" t="e">
        <f>_xlfn.IFNA(ROUND(VLOOKUP(B15,#REF!,4,FALSE),2),0)</f>
        <v>#REF!</v>
      </c>
      <c r="H15" s="29"/>
    </row>
    <row r="16" spans="2:13" ht="12" customHeight="1" x14ac:dyDescent="0.2">
      <c r="B16" s="1" t="s">
        <v>36</v>
      </c>
      <c r="G16" s="45" t="e">
        <f>_xlfn.IFNA(ROUND(VLOOKUP(B16,#REF!,4,FALSE),2),0)</f>
        <v>#REF!</v>
      </c>
      <c r="H16" s="29"/>
    </row>
    <row r="17" spans="2:11" ht="12" customHeight="1" x14ac:dyDescent="0.2">
      <c r="B17" s="1" t="s">
        <v>10</v>
      </c>
      <c r="G17" s="4" t="e">
        <f>_xlfn.IFNA(ROUND(VLOOKUP(B17,#REF!,4,FALSE),2),0)</f>
        <v>#REF!</v>
      </c>
      <c r="H17" s="29"/>
    </row>
    <row r="18" spans="2:11" ht="12" customHeight="1" x14ac:dyDescent="0.2">
      <c r="G18" s="6" t="e">
        <f>SUM(G6:G17)</f>
        <v>#REF!</v>
      </c>
      <c r="H18" s="29"/>
    </row>
    <row r="19" spans="2:11" ht="12" customHeight="1" x14ac:dyDescent="0.2">
      <c r="B19" s="1" t="s">
        <v>2</v>
      </c>
      <c r="C19" s="12" t="s">
        <v>13</v>
      </c>
      <c r="H19" s="29"/>
    </row>
    <row r="20" spans="2:11" ht="12" customHeight="1" x14ac:dyDescent="0.2">
      <c r="C20" s="12"/>
      <c r="H20" s="29"/>
    </row>
    <row r="21" spans="2:11" ht="12" customHeight="1" x14ac:dyDescent="0.2">
      <c r="B21" s="9" t="s">
        <v>51</v>
      </c>
      <c r="C21" s="12"/>
      <c r="H21" s="29"/>
    </row>
    <row r="22" spans="2:11" ht="12" customHeight="1" x14ac:dyDescent="0.2">
      <c r="B22" s="1" t="s">
        <v>12</v>
      </c>
      <c r="C22" s="12"/>
      <c r="G22" s="5" t="e">
        <f>_xlfn.IFNA(ROUND(VLOOKUP("Direct Capital Costs",#REF!,4,FALSE),2),0)</f>
        <v>#REF!</v>
      </c>
      <c r="H22" s="29"/>
    </row>
    <row r="23" spans="2:11" ht="12" customHeight="1" x14ac:dyDescent="0.2">
      <c r="C23" s="12" t="s">
        <v>14</v>
      </c>
      <c r="G23" s="6" t="e">
        <f t="shared" ref="G23" si="0">SUM(G22)</f>
        <v>#REF!</v>
      </c>
      <c r="H23" s="29"/>
    </row>
    <row r="24" spans="2:11" ht="12" customHeight="1" x14ac:dyDescent="0.2">
      <c r="C24" s="12"/>
      <c r="H24" s="29"/>
    </row>
    <row r="25" spans="2:11" ht="12" customHeight="1" x14ac:dyDescent="0.2">
      <c r="C25" s="12" t="s">
        <v>15</v>
      </c>
      <c r="G25" s="6" t="e">
        <f>SUM(G18,G23)</f>
        <v>#REF!</v>
      </c>
      <c r="H25" s="29"/>
      <c r="I25" s="35" t="e">
        <f>ROUND(G25/1000,2)</f>
        <v>#REF!</v>
      </c>
      <c r="J25" s="36">
        <f>'[2]2023 Budget Tables'!$E$15</f>
        <v>32.909999999999997</v>
      </c>
      <c r="K25" s="37" t="e">
        <f>I25-J25</f>
        <v>#REF!</v>
      </c>
    </row>
    <row r="26" spans="2:11" ht="12" customHeight="1" x14ac:dyDescent="0.2">
      <c r="C26" s="12"/>
      <c r="H26" s="29"/>
    </row>
    <row r="27" spans="2:11" ht="12" customHeight="1" x14ac:dyDescent="0.2">
      <c r="C27" s="12" t="s">
        <v>3</v>
      </c>
      <c r="H27" s="29"/>
    </row>
    <row r="28" spans="2:11" ht="12" customHeight="1" x14ac:dyDescent="0.2">
      <c r="C28" s="12"/>
      <c r="H28" s="29"/>
    </row>
    <row r="29" spans="2:11" ht="15" customHeight="1" x14ac:dyDescent="0.2">
      <c r="C29" s="12"/>
      <c r="H29" s="29"/>
    </row>
    <row r="30" spans="2:11" ht="15.75" x14ac:dyDescent="0.25">
      <c r="B30" s="79" t="s">
        <v>11</v>
      </c>
      <c r="C30" s="79"/>
      <c r="D30" s="79"/>
      <c r="E30" s="79"/>
      <c r="F30" s="79"/>
      <c r="G30" s="79"/>
      <c r="H30" s="29"/>
    </row>
    <row r="31" spans="2:11" ht="12" customHeight="1" x14ac:dyDescent="0.2">
      <c r="B31" s="81" t="s">
        <v>0</v>
      </c>
      <c r="C31" s="81"/>
      <c r="D31" s="81"/>
      <c r="E31" s="81"/>
      <c r="F31" s="81"/>
      <c r="G31" s="81"/>
      <c r="H31" s="29"/>
    </row>
    <row r="32" spans="2:11" ht="12" customHeight="1" x14ac:dyDescent="0.2">
      <c r="H32" s="29"/>
    </row>
    <row r="33" spans="2:11" ht="12" customHeight="1" x14ac:dyDescent="0.2">
      <c r="B33" s="9" t="str">
        <f>B5</f>
        <v>3rd Quarter Operating Budget:</v>
      </c>
      <c r="F33" s="13"/>
      <c r="G33" s="8"/>
      <c r="H33" s="29"/>
    </row>
    <row r="34" spans="2:11" ht="12" customHeight="1" x14ac:dyDescent="0.2">
      <c r="B34" s="1" t="s">
        <v>5</v>
      </c>
      <c r="G34" s="2" t="e">
        <f>_xlfn.IFNA(ROUND(VLOOKUP(B34,#REF!,4,FALSE),2),0)</f>
        <v>#REF!</v>
      </c>
      <c r="H34" s="29"/>
      <c r="I34" s="35" t="e">
        <f>ROUND((SUM(G34:G36)/1000),2)</f>
        <v>#REF!</v>
      </c>
      <c r="J34" s="36">
        <f>SUM('[2]2023 Budget Tables'!$E$35,'[2]2023 Budget Tables'!$E$40)</f>
        <v>2.38</v>
      </c>
      <c r="K34" s="37" t="e">
        <f>I34-J34</f>
        <v>#REF!</v>
      </c>
    </row>
    <row r="35" spans="2:11" ht="12" customHeight="1" x14ac:dyDescent="0.2">
      <c r="B35" s="1" t="s">
        <v>30</v>
      </c>
      <c r="G35" s="3" t="e">
        <f>_xlfn.IFNA(ROUND(VLOOKUP(B35,#REF!,4,FALSE),2),0)</f>
        <v>#REF!</v>
      </c>
      <c r="H35" s="29"/>
    </row>
    <row r="36" spans="2:11" ht="12" customHeight="1" x14ac:dyDescent="0.2">
      <c r="B36" s="1" t="s">
        <v>31</v>
      </c>
      <c r="G36" s="3" t="e">
        <f>_xlfn.IFNA(ROUND(VLOOKUP(B36,#REF!,4,FALSE),2),0)</f>
        <v>#REF!</v>
      </c>
      <c r="H36" s="29"/>
    </row>
    <row r="37" spans="2:11" ht="12" customHeight="1" x14ac:dyDescent="0.2">
      <c r="B37" s="1" t="s">
        <v>32</v>
      </c>
      <c r="G37" s="3" t="e">
        <f>_xlfn.IFNA(ROUND(VLOOKUP(B37,#REF!,4,FALSE),2),0)</f>
        <v>#REF!</v>
      </c>
      <c r="H37" s="29"/>
      <c r="I37" s="35" t="e">
        <f>ROUND((SUM(G37:G39,G49)/1000),2)</f>
        <v>#REF!</v>
      </c>
      <c r="J37" s="36">
        <f>SUM('[2]2023 Budget Tables'!$E$36,'[2]2023 Budget Tables'!$E$41)</f>
        <v>3.8299999999999996</v>
      </c>
      <c r="K37" s="37" t="e">
        <f>I37-J37</f>
        <v>#REF!</v>
      </c>
    </row>
    <row r="38" spans="2:11" ht="12" customHeight="1" x14ac:dyDescent="0.2">
      <c r="B38" s="1" t="s">
        <v>33</v>
      </c>
      <c r="G38" s="3" t="e">
        <f>_xlfn.IFNA(ROUND(VLOOKUP(B38,#REF!,4,FALSE),2),0)</f>
        <v>#REF!</v>
      </c>
      <c r="H38" s="29"/>
    </row>
    <row r="39" spans="2:11" ht="12" customHeight="1" x14ac:dyDescent="0.2">
      <c r="B39" s="1" t="s">
        <v>34</v>
      </c>
      <c r="G39" s="3" t="e">
        <f>_xlfn.IFNA(ROUND(VLOOKUP(B39,#REF!,4,FALSE),2),0)</f>
        <v>#REF!</v>
      </c>
      <c r="H39" s="29"/>
    </row>
    <row r="40" spans="2:11" ht="12" customHeight="1" x14ac:dyDescent="0.2">
      <c r="B40" s="1" t="s">
        <v>35</v>
      </c>
      <c r="G40" s="3" t="e">
        <f>_xlfn.IFNA(ROUND(VLOOKUP(B40,#REF!,4,FALSE),2),0)</f>
        <v>#REF!</v>
      </c>
      <c r="H40" s="29"/>
      <c r="I40" s="35" t="e">
        <f>ROUND((SUM(G40:G44)/1000),2)</f>
        <v>#REF!</v>
      </c>
      <c r="J40" s="36">
        <f>SUM('[2]2023 Budget Tables'!$E$37,'[2]2023 Budget Tables'!$E$42)</f>
        <v>0.23</v>
      </c>
      <c r="K40" s="37" t="e">
        <f>I40-J40</f>
        <v>#REF!</v>
      </c>
    </row>
    <row r="41" spans="2:11" ht="12" customHeight="1" x14ac:dyDescent="0.2">
      <c r="B41" s="1" t="s">
        <v>1</v>
      </c>
      <c r="G41" s="3" t="e">
        <f>_xlfn.IFNA(ROUND(VLOOKUP(B41,#REF!,4,FALSE),2),0)</f>
        <v>#REF!</v>
      </c>
      <c r="H41" s="29"/>
    </row>
    <row r="42" spans="2:11" ht="12" customHeight="1" x14ac:dyDescent="0.2">
      <c r="B42" s="1" t="s">
        <v>37</v>
      </c>
      <c r="G42" s="3" t="e">
        <f>_xlfn.IFNA(ROUND(VLOOKUP(B42,#REF!,4,FALSE),2),0)</f>
        <v>#REF!</v>
      </c>
      <c r="H42" s="29"/>
    </row>
    <row r="43" spans="2:11" ht="12" customHeight="1" x14ac:dyDescent="0.2">
      <c r="B43" s="1" t="s">
        <v>40</v>
      </c>
      <c r="G43" s="3" t="e">
        <f>_xlfn.IFNA(ROUND(VLOOKUP(B43,#REF!,4,FALSE),2),0)</f>
        <v>#REF!</v>
      </c>
      <c r="H43" s="29"/>
    </row>
    <row r="44" spans="2:11" ht="12" customHeight="1" x14ac:dyDescent="0.2">
      <c r="B44" s="1" t="s">
        <v>36</v>
      </c>
      <c r="E44" s="14"/>
      <c r="G44" s="3" t="e">
        <f>_xlfn.IFNA(ROUND(VLOOKUP(B44,#REF!,4,FALSE),2),0)</f>
        <v>#REF!</v>
      </c>
      <c r="H44" s="29"/>
    </row>
    <row r="45" spans="2:11" ht="12" customHeight="1" x14ac:dyDescent="0.2">
      <c r="B45" s="1" t="s">
        <v>9</v>
      </c>
      <c r="G45" s="4" t="e">
        <f>_xlfn.IFNA(ROUND(VLOOKUP("Allocation of Common Operating",#REF!,4,FALSE),2),0)</f>
        <v>#REF!</v>
      </c>
      <c r="H45" s="29"/>
      <c r="I45" s="35" t="e">
        <f>ROUND((SUM(G45,G50)/1000),2)</f>
        <v>#REF!</v>
      </c>
      <c r="J45" s="36">
        <f>'[2]2023 Budget Tables'!$E$45</f>
        <v>11.51</v>
      </c>
      <c r="K45" s="37" t="e">
        <f>I45-J45</f>
        <v>#REF!</v>
      </c>
    </row>
    <row r="46" spans="2:11" ht="12" customHeight="1" x14ac:dyDescent="0.2">
      <c r="B46" s="12" t="s">
        <v>16</v>
      </c>
      <c r="E46" s="14"/>
      <c r="G46" s="6" t="e">
        <f>SUM(G34:G45)</f>
        <v>#REF!</v>
      </c>
      <c r="H46" s="29"/>
    </row>
    <row r="47" spans="2:11" ht="12" customHeight="1" x14ac:dyDescent="0.2">
      <c r="B47" s="12"/>
      <c r="E47" s="14"/>
      <c r="G47" s="15"/>
      <c r="H47" s="29"/>
    </row>
    <row r="48" spans="2:11" ht="12" customHeight="1" x14ac:dyDescent="0.2">
      <c r="B48" s="9" t="str">
        <f>B21</f>
        <v>3rd Quarter Capital Budget:</v>
      </c>
      <c r="C48" s="12"/>
      <c r="H48" s="29"/>
    </row>
    <row r="49" spans="2:11" ht="12" customHeight="1" x14ac:dyDescent="0.2">
      <c r="B49" s="1" t="s">
        <v>29</v>
      </c>
      <c r="C49" s="12"/>
      <c r="G49" s="2" t="e">
        <f>_xlfn.IFNA(ROUND(VLOOKUP(B49,#REF!,4,FALSE),2),0)</f>
        <v>#REF!</v>
      </c>
      <c r="H49" s="29"/>
    </row>
    <row r="50" spans="2:11" ht="12" customHeight="1" x14ac:dyDescent="0.2">
      <c r="B50" s="1" t="s">
        <v>17</v>
      </c>
      <c r="C50" s="12"/>
      <c r="G50" s="4" t="e">
        <f>_xlfn.IFNA(ROUND(VLOOKUP("Allocation of Common Capital",#REF!,4,FALSE),2),0)</f>
        <v>#REF!</v>
      </c>
      <c r="H50" s="29"/>
    </row>
    <row r="51" spans="2:11" ht="12" customHeight="1" x14ac:dyDescent="0.2">
      <c r="B51" s="12" t="s">
        <v>18</v>
      </c>
      <c r="C51" s="12"/>
      <c r="G51" s="6" t="e">
        <f>SUM(G49:G50)</f>
        <v>#REF!</v>
      </c>
      <c r="H51" s="29"/>
    </row>
    <row r="52" spans="2:11" ht="12" customHeight="1" x14ac:dyDescent="0.2">
      <c r="C52" s="12"/>
      <c r="H52" s="29"/>
    </row>
    <row r="53" spans="2:11" ht="12" customHeight="1" x14ac:dyDescent="0.2">
      <c r="C53" s="12" t="s">
        <v>19</v>
      </c>
      <c r="G53" s="6" t="e">
        <f>SUM(G46,G51)</f>
        <v>#REF!</v>
      </c>
      <c r="H53" s="29"/>
      <c r="I53" s="35" t="e">
        <f>ROUND((SUM(G53)/1000),2)</f>
        <v>#REF!</v>
      </c>
      <c r="J53" s="36">
        <f>'[2]2023 Budget Tables'!$E$46</f>
        <v>17.95</v>
      </c>
      <c r="K53" s="37" t="e">
        <f>I53-J53</f>
        <v>#REF!</v>
      </c>
    </row>
    <row r="54" spans="2:11" ht="12" customHeight="1" x14ac:dyDescent="0.2">
      <c r="C54" s="12"/>
      <c r="H54" s="29"/>
    </row>
    <row r="55" spans="2:11" ht="15" customHeight="1" x14ac:dyDescent="0.2">
      <c r="C55" s="12"/>
      <c r="H55" s="29"/>
    </row>
    <row r="56" spans="2:11" ht="15.75" x14ac:dyDescent="0.25">
      <c r="B56" s="79" t="s">
        <v>7</v>
      </c>
      <c r="C56" s="79"/>
      <c r="D56" s="79"/>
      <c r="E56" s="79"/>
      <c r="F56" s="79"/>
      <c r="G56" s="79"/>
      <c r="H56" s="29"/>
    </row>
    <row r="57" spans="2:11" ht="12" customHeight="1" x14ac:dyDescent="0.2">
      <c r="B57" s="81" t="s">
        <v>0</v>
      </c>
      <c r="C57" s="81"/>
      <c r="D57" s="81"/>
      <c r="E57" s="81"/>
      <c r="F57" s="81"/>
      <c r="G57" s="81"/>
      <c r="H57" s="29"/>
    </row>
    <row r="58" spans="2:11" ht="13.5" customHeight="1" x14ac:dyDescent="0.2">
      <c r="B58" s="12"/>
      <c r="E58" s="16"/>
      <c r="H58" s="29"/>
    </row>
    <row r="59" spans="2:11" x14ac:dyDescent="0.2">
      <c r="B59" s="9" t="str">
        <f>B5</f>
        <v>3rd Quarter Operating Budget:</v>
      </c>
      <c r="E59" s="14"/>
      <c r="G59" s="8"/>
      <c r="H59" s="29"/>
    </row>
    <row r="60" spans="2:11" ht="12" customHeight="1" x14ac:dyDescent="0.2">
      <c r="B60" s="1" t="s">
        <v>5</v>
      </c>
      <c r="E60" s="14"/>
      <c r="G60" s="29" t="e">
        <f>_xlfn.IFNA(ROUND(VLOOKUP(B60,#REF!,4,FALSE),2),0)</f>
        <v>#REF!</v>
      </c>
      <c r="H60" s="29"/>
      <c r="I60" s="35" t="e">
        <f>ROUND((SUM(G60:G62)/1000),2)</f>
        <v>#REF!</v>
      </c>
      <c r="J60" s="36">
        <f>SUM('[2]2023 Budget Tables'!$E$50,'[2]2023 Budget Tables'!$E$55)</f>
        <v>3.42</v>
      </c>
      <c r="K60" s="37" t="e">
        <f>I60-J60</f>
        <v>#REF!</v>
      </c>
    </row>
    <row r="61" spans="2:11" ht="12" customHeight="1" x14ac:dyDescent="0.2">
      <c r="B61" s="1" t="s">
        <v>30</v>
      </c>
      <c r="E61" s="14"/>
      <c r="G61" s="30" t="e">
        <f>_xlfn.IFNA(ROUND(VLOOKUP(B61,#REF!,4,FALSE),2),0)</f>
        <v>#REF!</v>
      </c>
      <c r="H61" s="29"/>
    </row>
    <row r="62" spans="2:11" ht="12" customHeight="1" x14ac:dyDescent="0.2">
      <c r="B62" s="1" t="s">
        <v>31</v>
      </c>
      <c r="E62" s="14"/>
      <c r="G62" s="30" t="e">
        <f>_xlfn.IFNA(ROUND(VLOOKUP(B62,#REF!,4,FALSE),2),0)</f>
        <v>#REF!</v>
      </c>
      <c r="H62" s="29"/>
    </row>
    <row r="63" spans="2:11" ht="12" customHeight="1" x14ac:dyDescent="0.2">
      <c r="B63" s="1" t="s">
        <v>32</v>
      </c>
      <c r="E63" s="14"/>
      <c r="G63" s="30" t="e">
        <f>_xlfn.IFNA(ROUND(VLOOKUP(B63,#REF!,4,FALSE),2),0)</f>
        <v>#REF!</v>
      </c>
      <c r="H63" s="29"/>
      <c r="I63" s="35" t="e">
        <f>ROUND((SUM(G63:G66,G76)/1000),2)</f>
        <v>#REF!</v>
      </c>
      <c r="J63" s="36">
        <f>SUM('[2]2023 Budget Tables'!$E$51,'[2]2023 Budget Tables'!$E$56)</f>
        <v>10.39</v>
      </c>
      <c r="K63" s="37" t="e">
        <f>I63-J63</f>
        <v>#REF!</v>
      </c>
    </row>
    <row r="64" spans="2:11" ht="12" customHeight="1" x14ac:dyDescent="0.2">
      <c r="B64" s="1" t="s">
        <v>33</v>
      </c>
      <c r="E64" s="14"/>
      <c r="G64" s="30" t="e">
        <f>_xlfn.IFNA(ROUND(VLOOKUP(B64,#REF!,4,FALSE),2),0)</f>
        <v>#REF!</v>
      </c>
      <c r="H64" s="29"/>
    </row>
    <row r="65" spans="2:11" ht="12" customHeight="1" x14ac:dyDescent="0.2">
      <c r="B65" s="1" t="s">
        <v>38</v>
      </c>
      <c r="E65" s="14"/>
      <c r="G65" s="30" t="e">
        <f>_xlfn.IFNA(ROUND(VLOOKUP(B65,#REF!,4,FALSE),2),0)</f>
        <v>#REF!</v>
      </c>
      <c r="H65" s="29"/>
    </row>
    <row r="66" spans="2:11" ht="12" customHeight="1" x14ac:dyDescent="0.2">
      <c r="B66" s="1" t="s">
        <v>34</v>
      </c>
      <c r="E66" s="14"/>
      <c r="G66" s="30" t="e">
        <f>_xlfn.IFNA(ROUND(VLOOKUP(B66,#REF!,4,FALSE),2),0)</f>
        <v>#REF!</v>
      </c>
      <c r="H66" s="29"/>
      <c r="I66" s="35" t="e">
        <f>ROUND((SUM(G67:G71)/1000),2)</f>
        <v>#REF!</v>
      </c>
      <c r="J66" s="36">
        <f>SUM('[2]2023 Budget Tables'!$E$52,'[2]2023 Budget Tables'!$E$57)</f>
        <v>0.79</v>
      </c>
      <c r="K66" s="37" t="e">
        <f>I66-J66</f>
        <v>#REF!</v>
      </c>
    </row>
    <row r="67" spans="2:11" ht="12" customHeight="1" x14ac:dyDescent="0.2">
      <c r="B67" s="1" t="s">
        <v>35</v>
      </c>
      <c r="E67" s="14"/>
      <c r="G67" s="30" t="e">
        <f>_xlfn.IFNA(ROUND(VLOOKUP(B67,#REF!,4,FALSE),2),0)</f>
        <v>#REF!</v>
      </c>
      <c r="H67" s="29"/>
    </row>
    <row r="68" spans="2:11" ht="12" customHeight="1" x14ac:dyDescent="0.2">
      <c r="B68" s="1" t="s">
        <v>1</v>
      </c>
      <c r="E68" s="14"/>
      <c r="G68" s="30" t="e">
        <f>_xlfn.IFNA(ROUND(VLOOKUP(B68,#REF!,4,FALSE),2),0)</f>
        <v>#REF!</v>
      </c>
      <c r="H68" s="29"/>
    </row>
    <row r="69" spans="2:11" ht="12" customHeight="1" x14ac:dyDescent="0.2">
      <c r="B69" s="1" t="s">
        <v>37</v>
      </c>
      <c r="E69" s="14"/>
      <c r="G69" s="30" t="e">
        <f>_xlfn.IFNA(ROUND(VLOOKUP(B69,#REF!,4,FALSE),2),0)</f>
        <v>#REF!</v>
      </c>
      <c r="H69" s="29"/>
    </row>
    <row r="70" spans="2:11" ht="12" customHeight="1" x14ac:dyDescent="0.2">
      <c r="B70" s="1" t="s">
        <v>40</v>
      </c>
      <c r="E70" s="14"/>
      <c r="G70" s="30" t="e">
        <f>_xlfn.IFNA(ROUND(VLOOKUP(B70,#REF!,4,FALSE),2),0)</f>
        <v>#REF!</v>
      </c>
      <c r="H70" s="29"/>
    </row>
    <row r="71" spans="2:11" ht="12" customHeight="1" x14ac:dyDescent="0.2">
      <c r="B71" s="1" t="s">
        <v>36</v>
      </c>
      <c r="E71" s="14"/>
      <c r="G71" s="3" t="e">
        <f>_xlfn.IFNA(ROUND(VLOOKUP(B71,#REF!,4,FALSE),2),0)</f>
        <v>#REF!</v>
      </c>
      <c r="H71" s="29"/>
    </row>
    <row r="72" spans="2:11" ht="12" customHeight="1" x14ac:dyDescent="0.2">
      <c r="B72" s="1" t="s">
        <v>9</v>
      </c>
      <c r="E72" s="14"/>
      <c r="G72" s="41" t="e">
        <f>_xlfn.IFNA(ROUND(VLOOKUP("Allocation of Common Operating",#REF!,4,FALSE),2),0)</f>
        <v>#REF!</v>
      </c>
      <c r="H72" s="29"/>
      <c r="I72" s="35" t="e">
        <f>ROUND((SUM(G72,G77)/1000),2)</f>
        <v>#REF!</v>
      </c>
      <c r="J72" s="36">
        <f>'[2]2023 Budget Tables'!$E$60</f>
        <v>9.0500000000000007</v>
      </c>
      <c r="K72" s="37" t="e">
        <f>I72-J72</f>
        <v>#REF!</v>
      </c>
    </row>
    <row r="73" spans="2:11" ht="12" customHeight="1" x14ac:dyDescent="0.2">
      <c r="B73" s="12" t="s">
        <v>20</v>
      </c>
      <c r="G73" s="6" t="e">
        <f>SUM(G60:G72)</f>
        <v>#REF!</v>
      </c>
      <c r="H73" s="29"/>
    </row>
    <row r="74" spans="2:11" ht="12" customHeight="1" x14ac:dyDescent="0.2">
      <c r="G74" s="15"/>
      <c r="H74" s="29"/>
    </row>
    <row r="75" spans="2:11" ht="12" customHeight="1" x14ac:dyDescent="0.2">
      <c r="B75" s="9" t="str">
        <f>B21</f>
        <v>3rd Quarter Capital Budget:</v>
      </c>
      <c r="C75" s="12"/>
      <c r="H75" s="29"/>
    </row>
    <row r="76" spans="2:11" ht="12" customHeight="1" x14ac:dyDescent="0.2">
      <c r="B76" s="1" t="s">
        <v>29</v>
      </c>
      <c r="G76" s="2" t="e">
        <f>_xlfn.IFNA(ROUND(VLOOKUP(B76,#REF!,4,FALSE),2),0)</f>
        <v>#REF!</v>
      </c>
      <c r="H76" s="29"/>
    </row>
    <row r="77" spans="2:11" ht="12" customHeight="1" x14ac:dyDescent="0.2">
      <c r="B77" s="1" t="s">
        <v>17</v>
      </c>
      <c r="C77" s="12"/>
      <c r="G77" s="4" t="e">
        <f>_xlfn.IFNA(ROUND(VLOOKUP("Allocation of Common Capital",#REF!,4,FALSE),2),0)</f>
        <v>#REF!</v>
      </c>
      <c r="H77" s="29"/>
    </row>
    <row r="78" spans="2:11" ht="12" customHeight="1" x14ac:dyDescent="0.2">
      <c r="B78" s="12" t="s">
        <v>24</v>
      </c>
      <c r="C78" s="12"/>
      <c r="G78" s="6" t="e">
        <f>SUM(G76:G77)</f>
        <v>#REF!</v>
      </c>
      <c r="H78" s="29"/>
    </row>
    <row r="79" spans="2:11" x14ac:dyDescent="0.2">
      <c r="C79" s="12"/>
      <c r="H79" s="29"/>
    </row>
    <row r="80" spans="2:11" x14ac:dyDescent="0.2">
      <c r="C80" s="12" t="s">
        <v>22</v>
      </c>
      <c r="G80" s="6" t="e">
        <f>SUM(G73,G78)</f>
        <v>#REF!</v>
      </c>
      <c r="H80" s="29"/>
      <c r="I80" s="35" t="e">
        <f>ROUND((SUM(G80)/1000),2)</f>
        <v>#REF!</v>
      </c>
      <c r="J80" s="36">
        <f>'[2]2023 Budget Tables'!$E$61</f>
        <v>23.65</v>
      </c>
      <c r="K80" s="37" t="e">
        <f>I80-J80</f>
        <v>#REF!</v>
      </c>
    </row>
    <row r="81" spans="2:11" x14ac:dyDescent="0.2">
      <c r="C81" s="12"/>
      <c r="H81" s="29"/>
    </row>
    <row r="82" spans="2:11" x14ac:dyDescent="0.2">
      <c r="C82" s="12"/>
      <c r="H82" s="29"/>
    </row>
    <row r="83" spans="2:11" ht="15.75" x14ac:dyDescent="0.25">
      <c r="B83" s="80" t="s">
        <v>8</v>
      </c>
      <c r="C83" s="80"/>
      <c r="D83" s="80"/>
      <c r="E83" s="80"/>
      <c r="F83" s="80"/>
      <c r="G83" s="80"/>
      <c r="H83" s="29"/>
    </row>
    <row r="84" spans="2:11" ht="12" customHeight="1" x14ac:dyDescent="0.2">
      <c r="B84" s="81" t="s">
        <v>0</v>
      </c>
      <c r="C84" s="81"/>
      <c r="D84" s="81"/>
      <c r="E84" s="81"/>
      <c r="F84" s="81"/>
      <c r="G84" s="81"/>
      <c r="H84" s="29"/>
    </row>
    <row r="85" spans="2:11" ht="12" customHeight="1" x14ac:dyDescent="0.25">
      <c r="E85" s="16"/>
      <c r="F85" s="17"/>
      <c r="H85" s="29"/>
    </row>
    <row r="86" spans="2:11" ht="12" customHeight="1" x14ac:dyDescent="0.2">
      <c r="B86" s="9" t="str">
        <f>B5</f>
        <v>3rd Quarter Operating Budget:</v>
      </c>
      <c r="G86" s="8"/>
      <c r="H86" s="29"/>
    </row>
    <row r="87" spans="2:11" ht="12" customHeight="1" x14ac:dyDescent="0.2">
      <c r="B87" s="1" t="s">
        <v>5</v>
      </c>
      <c r="E87" s="18"/>
      <c r="G87" s="2" t="e">
        <f>_xlfn.IFNA(ROUND(VLOOKUP(B87,#REF!,4,FALSE),2),0)</f>
        <v>#REF!</v>
      </c>
      <c r="H87" s="29"/>
      <c r="I87" s="35" t="e">
        <f>ROUND((SUM(G87:G89)/1000),2)</f>
        <v>#REF!</v>
      </c>
      <c r="J87" s="36">
        <f>SUM('[2]2023 Budget Tables'!$E$65,'[2]2023 Budget Tables'!$E$70)</f>
        <v>1.99</v>
      </c>
      <c r="K87" s="37" t="e">
        <f>I87-J87</f>
        <v>#REF!</v>
      </c>
    </row>
    <row r="88" spans="2:11" ht="12" customHeight="1" x14ac:dyDescent="0.2">
      <c r="B88" s="1" t="s">
        <v>30</v>
      </c>
      <c r="E88" s="14"/>
      <c r="G88" s="3" t="e">
        <f>_xlfn.IFNA(ROUND(VLOOKUP(B88,#REF!,4,FALSE),2),0)</f>
        <v>#REF!</v>
      </c>
      <c r="H88" s="29"/>
    </row>
    <row r="89" spans="2:11" ht="12" customHeight="1" x14ac:dyDescent="0.2">
      <c r="B89" s="1" t="s">
        <v>31</v>
      </c>
      <c r="E89" s="14"/>
      <c r="G89" s="3" t="e">
        <f>_xlfn.IFNA(ROUND(VLOOKUP(B89,#REF!,4,FALSE),2),0)</f>
        <v>#REF!</v>
      </c>
      <c r="H89" s="29"/>
    </row>
    <row r="90" spans="2:11" ht="12" customHeight="1" x14ac:dyDescent="0.2">
      <c r="B90" s="1" t="s">
        <v>32</v>
      </c>
      <c r="E90" s="14"/>
      <c r="G90" s="3" t="e">
        <f>_xlfn.IFNA(ROUND(VLOOKUP(B90,#REF!,4,FALSE),2),0)</f>
        <v>#REF!</v>
      </c>
      <c r="H90" s="29"/>
      <c r="I90" s="35" t="e">
        <f>ROUND((SUM(G90:G92,G102)/1000),2)</f>
        <v>#REF!</v>
      </c>
      <c r="J90" s="36">
        <f>SUM('[2]2023 Budget Tables'!$E$66,'[2]2023 Budget Tables'!$E$71)</f>
        <v>2.21</v>
      </c>
      <c r="K90" s="37" t="e">
        <f>I90-J90</f>
        <v>#REF!</v>
      </c>
    </row>
    <row r="91" spans="2:11" ht="12" customHeight="1" x14ac:dyDescent="0.2">
      <c r="B91" s="1" t="s">
        <v>33</v>
      </c>
      <c r="E91" s="14"/>
      <c r="G91" s="3" t="e">
        <f>_xlfn.IFNA(ROUND(VLOOKUP(B91,#REF!,4,FALSE),2),0)</f>
        <v>#REF!</v>
      </c>
      <c r="H91" s="29"/>
    </row>
    <row r="92" spans="2:11" ht="12" customHeight="1" x14ac:dyDescent="0.2">
      <c r="B92" s="1" t="s">
        <v>34</v>
      </c>
      <c r="E92" s="14"/>
      <c r="G92" s="3" t="e">
        <f>_xlfn.IFNA(ROUND(VLOOKUP(B92,#REF!,4,FALSE),2),0)</f>
        <v>#REF!</v>
      </c>
      <c r="H92" s="29"/>
    </row>
    <row r="93" spans="2:11" ht="12" customHeight="1" x14ac:dyDescent="0.2">
      <c r="B93" s="1" t="s">
        <v>35</v>
      </c>
      <c r="E93" s="14"/>
      <c r="G93" s="3" t="e">
        <f>_xlfn.IFNA(ROUND(VLOOKUP(B93,#REF!,4,FALSE),2),0)</f>
        <v>#REF!</v>
      </c>
      <c r="H93" s="29"/>
      <c r="I93" s="35" t="e">
        <f>ROUND((SUM(G93:G97)/1000),2)</f>
        <v>#REF!</v>
      </c>
      <c r="J93" s="36">
        <f>SUM('[2]2023 Budget Tables'!$E$67,'[2]2023 Budget Tables'!$E$72)</f>
        <v>0.28000000000000003</v>
      </c>
      <c r="K93" s="37" t="e">
        <f>I93-J93</f>
        <v>#REF!</v>
      </c>
    </row>
    <row r="94" spans="2:11" ht="12" customHeight="1" x14ac:dyDescent="0.2">
      <c r="B94" s="1" t="s">
        <v>1</v>
      </c>
      <c r="E94" s="14"/>
      <c r="G94" s="3" t="e">
        <f>_xlfn.IFNA(ROUND(VLOOKUP(B94,#REF!,4,FALSE),2),0)</f>
        <v>#REF!</v>
      </c>
      <c r="H94" s="29"/>
    </row>
    <row r="95" spans="2:11" ht="12" customHeight="1" x14ac:dyDescent="0.2">
      <c r="B95" s="1" t="s">
        <v>37</v>
      </c>
      <c r="E95" s="14"/>
      <c r="G95" s="3" t="e">
        <f>_xlfn.IFNA(ROUND(VLOOKUP(B95,#REF!,4,FALSE),2),0)</f>
        <v>#REF!</v>
      </c>
      <c r="H95" s="29"/>
    </row>
    <row r="96" spans="2:11" ht="12" customHeight="1" x14ac:dyDescent="0.2">
      <c r="B96" s="1" t="s">
        <v>40</v>
      </c>
      <c r="E96" s="14"/>
      <c r="G96" s="3" t="e">
        <f>_xlfn.IFNA(ROUND(VLOOKUP(B96,#REF!,4,FALSE),2),0)</f>
        <v>#REF!</v>
      </c>
      <c r="H96" s="29"/>
    </row>
    <row r="97" spans="2:11" ht="12" customHeight="1" x14ac:dyDescent="0.2">
      <c r="B97" s="1" t="s">
        <v>36</v>
      </c>
      <c r="E97" s="14"/>
      <c r="G97" s="3" t="e">
        <f>_xlfn.IFNA(ROUND(VLOOKUP(B97,#REF!,4,FALSE),2),0)</f>
        <v>#REF!</v>
      </c>
      <c r="H97" s="29"/>
    </row>
    <row r="98" spans="2:11" ht="12" customHeight="1" x14ac:dyDescent="0.2">
      <c r="B98" s="1" t="s">
        <v>9</v>
      </c>
      <c r="E98" s="14"/>
      <c r="G98" s="4" t="e">
        <f>_xlfn.IFNA(ROUND(VLOOKUP("Allocation of Common Operating",#REF!,4,FALSE),2),0)</f>
        <v>#REF!</v>
      </c>
      <c r="H98" s="29"/>
      <c r="I98" s="35" t="e">
        <f>ROUND((SUM(G98,G103)/1000),2)</f>
        <v>#REF!</v>
      </c>
      <c r="J98" s="36">
        <f>'[2]2023 Budget Tables'!$E$75</f>
        <v>2.21</v>
      </c>
      <c r="K98" s="37" t="e">
        <f>I98-J98</f>
        <v>#REF!</v>
      </c>
    </row>
    <row r="99" spans="2:11" ht="12" customHeight="1" x14ac:dyDescent="0.2">
      <c r="B99" s="12" t="s">
        <v>21</v>
      </c>
      <c r="G99" s="6" t="e">
        <f>SUM(G87:G98)</f>
        <v>#REF!</v>
      </c>
      <c r="H99" s="29"/>
    </row>
    <row r="100" spans="2:11" ht="12" customHeight="1" x14ac:dyDescent="0.2">
      <c r="B100" s="12"/>
      <c r="G100" s="15"/>
      <c r="H100" s="29"/>
    </row>
    <row r="101" spans="2:11" ht="12" customHeight="1" x14ac:dyDescent="0.2">
      <c r="B101" s="9" t="str">
        <f>B21</f>
        <v>3rd Quarter Capital Budget:</v>
      </c>
      <c r="C101" s="12"/>
      <c r="H101" s="29"/>
    </row>
    <row r="102" spans="2:11" ht="12" customHeight="1" x14ac:dyDescent="0.2">
      <c r="B102" s="1" t="s">
        <v>29</v>
      </c>
      <c r="G102" s="2" t="e">
        <f>_xlfn.IFNA(ROUND(VLOOKUP(B102,#REF!,4,FALSE),2),0)</f>
        <v>#REF!</v>
      </c>
      <c r="H102" s="29"/>
    </row>
    <row r="103" spans="2:11" ht="12" customHeight="1" x14ac:dyDescent="0.2">
      <c r="B103" s="1" t="s">
        <v>17</v>
      </c>
      <c r="C103" s="12"/>
      <c r="G103" s="4" t="e">
        <f>_xlfn.IFNA(ROUND(VLOOKUP("Allocation of Common Capital",#REF!,4,FALSE),2),0)</f>
        <v>#REF!</v>
      </c>
      <c r="H103" s="29"/>
    </row>
    <row r="104" spans="2:11" ht="12" customHeight="1" x14ac:dyDescent="0.2">
      <c r="B104" s="12" t="s">
        <v>23</v>
      </c>
      <c r="C104" s="12"/>
      <c r="G104" s="6" t="e">
        <f>SUM(G102:G103)</f>
        <v>#REF!</v>
      </c>
      <c r="H104" s="29"/>
    </row>
    <row r="105" spans="2:11" ht="12" customHeight="1" x14ac:dyDescent="0.2">
      <c r="C105" s="12"/>
      <c r="H105" s="29"/>
    </row>
    <row r="106" spans="2:11" ht="12" customHeight="1" x14ac:dyDescent="0.2">
      <c r="C106" s="12" t="s">
        <v>25</v>
      </c>
      <c r="G106" s="6" t="e">
        <f>SUM(G99,G104)</f>
        <v>#REF!</v>
      </c>
      <c r="H106" s="29"/>
      <c r="I106" s="35" t="e">
        <f>ROUND((SUM(G106)/1000),2)</f>
        <v>#REF!</v>
      </c>
      <c r="J106" s="36">
        <f>'[2]2023 Budget Tables'!$E$76</f>
        <v>6.69</v>
      </c>
      <c r="K106" s="37" t="e">
        <f>I106-J106</f>
        <v>#REF!</v>
      </c>
    </row>
    <row r="107" spans="2:11" ht="12" customHeight="1" x14ac:dyDescent="0.25">
      <c r="G107" s="19"/>
      <c r="H107" s="29"/>
    </row>
    <row r="108" spans="2:11" ht="15" customHeight="1" x14ac:dyDescent="0.25">
      <c r="G108" s="19"/>
      <c r="H108" s="29"/>
    </row>
    <row r="109" spans="2:11" ht="15.75" x14ac:dyDescent="0.25">
      <c r="B109" s="80" t="s">
        <v>6</v>
      </c>
      <c r="C109" s="80"/>
      <c r="D109" s="80"/>
      <c r="E109" s="80"/>
      <c r="F109" s="80"/>
      <c r="G109" s="80"/>
      <c r="H109" s="29"/>
    </row>
    <row r="110" spans="2:11" ht="12" customHeight="1" x14ac:dyDescent="0.2">
      <c r="B110" s="81" t="s">
        <v>0</v>
      </c>
      <c r="C110" s="81"/>
      <c r="D110" s="81"/>
      <c r="E110" s="81"/>
      <c r="F110" s="81"/>
      <c r="G110" s="81"/>
      <c r="H110" s="29"/>
    </row>
    <row r="111" spans="2:11" ht="12" customHeight="1" x14ac:dyDescent="0.2">
      <c r="H111" s="29"/>
    </row>
    <row r="112" spans="2:11" ht="12" customHeight="1" x14ac:dyDescent="0.2">
      <c r="B112" s="9" t="str">
        <f>B5</f>
        <v>3rd Quarter Operating Budget:</v>
      </c>
      <c r="E112" s="20"/>
      <c r="F112" s="10"/>
      <c r="G112" s="8"/>
      <c r="H112" s="29"/>
    </row>
    <row r="113" spans="2:11" ht="12" customHeight="1" x14ac:dyDescent="0.2">
      <c r="B113" s="1" t="s">
        <v>5</v>
      </c>
      <c r="E113" s="14"/>
      <c r="F113" s="14"/>
      <c r="G113" s="29" t="e">
        <f>_xlfn.IFNA(ROUND(VLOOKUP(B113,#REF!,4,FALSE),2),0)</f>
        <v>#REF!</v>
      </c>
      <c r="H113" s="29"/>
      <c r="I113" s="35" t="e">
        <f>ROUND((SUM(G113:G115)/1000),2)</f>
        <v>#REF!</v>
      </c>
      <c r="J113" s="36">
        <f>SUM('[2]2023 Budget Tables'!$E$20,'[2]2023 Budget Tables'!$E$25)</f>
        <v>2.73</v>
      </c>
      <c r="K113" s="37" t="e">
        <f>I113-J113</f>
        <v>#REF!</v>
      </c>
    </row>
    <row r="114" spans="2:11" ht="12" customHeight="1" x14ac:dyDescent="0.2">
      <c r="B114" s="1" t="s">
        <v>30</v>
      </c>
      <c r="E114" s="14"/>
      <c r="F114" s="14"/>
      <c r="G114" s="3" t="e">
        <f>_xlfn.IFNA(ROUND(VLOOKUP(B114,#REF!,4,FALSE),2),0)</f>
        <v>#REF!</v>
      </c>
      <c r="H114" s="29"/>
    </row>
    <row r="115" spans="2:11" ht="12" customHeight="1" x14ac:dyDescent="0.2">
      <c r="B115" s="1" t="s">
        <v>31</v>
      </c>
      <c r="E115" s="14"/>
      <c r="F115" s="14"/>
      <c r="G115" s="3" t="e">
        <f>_xlfn.IFNA(ROUND(VLOOKUP(B115,#REF!,4,FALSE),2),0)</f>
        <v>#REF!</v>
      </c>
      <c r="H115" s="29"/>
    </row>
    <row r="116" spans="2:11" ht="12" customHeight="1" x14ac:dyDescent="0.2">
      <c r="B116" s="1" t="s">
        <v>39</v>
      </c>
      <c r="E116" s="14"/>
      <c r="F116" s="14"/>
      <c r="G116" s="3" t="e">
        <f>_xlfn.IFNA(ROUND(VLOOKUP(B116,#REF!,4,FALSE),2),0)</f>
        <v>#REF!</v>
      </c>
      <c r="H116" s="29"/>
      <c r="I116" s="35" t="e">
        <f>ROUND((SUM(G116:G119,G129)/1000),2)</f>
        <v>#REF!</v>
      </c>
      <c r="J116" s="36">
        <f>SUM('[2]2023 Budget Tables'!$E$21,'[2]2023 Budget Tables'!$E$26)</f>
        <v>6.22</v>
      </c>
      <c r="K116" s="37" t="e">
        <f>I116-J116</f>
        <v>#REF!</v>
      </c>
    </row>
    <row r="117" spans="2:11" ht="12" customHeight="1" x14ac:dyDescent="0.2">
      <c r="B117" s="1" t="s">
        <v>32</v>
      </c>
      <c r="E117" s="14"/>
      <c r="F117" s="14"/>
      <c r="G117" s="3" t="e">
        <f>_xlfn.IFNA(ROUND(VLOOKUP(B117,#REF!,4,FALSE),2),0)</f>
        <v>#REF!</v>
      </c>
      <c r="H117" s="29"/>
    </row>
    <row r="118" spans="2:11" ht="12" customHeight="1" x14ac:dyDescent="0.2">
      <c r="B118" s="1" t="s">
        <v>33</v>
      </c>
      <c r="E118" s="14"/>
      <c r="F118" s="14"/>
      <c r="G118" s="3" t="e">
        <f>_xlfn.IFNA(ROUND(VLOOKUP(B118,#REF!,4,FALSE),2),0)</f>
        <v>#REF!</v>
      </c>
      <c r="H118" s="29"/>
    </row>
    <row r="119" spans="2:11" ht="12" customHeight="1" x14ac:dyDescent="0.2">
      <c r="B119" s="1" t="s">
        <v>34</v>
      </c>
      <c r="E119" s="14"/>
      <c r="F119" s="14"/>
      <c r="G119" s="30" t="e">
        <f>_xlfn.IFNA(ROUND(VLOOKUP(B119,#REF!,4,FALSE),2),0)</f>
        <v>#REF!</v>
      </c>
      <c r="H119" s="29"/>
      <c r="I119" s="35" t="e">
        <f>ROUND((SUM(G120:G124)/1000),2)</f>
        <v>#REF!</v>
      </c>
      <c r="J119" s="36">
        <f>SUM('[2]2023 Budget Tables'!$E$22,'[2]2023 Budget Tables'!$E$27)</f>
        <v>0.66</v>
      </c>
      <c r="K119" s="37" t="e">
        <f>I119-J119</f>
        <v>#REF!</v>
      </c>
    </row>
    <row r="120" spans="2:11" ht="12" customHeight="1" x14ac:dyDescent="0.2">
      <c r="B120" s="1" t="s">
        <v>35</v>
      </c>
      <c r="E120" s="14"/>
      <c r="F120" s="14"/>
      <c r="G120" s="30" t="e">
        <f>_xlfn.IFNA(ROUND(VLOOKUP(B120,#REF!,4,FALSE),2),0)</f>
        <v>#REF!</v>
      </c>
      <c r="H120" s="29"/>
    </row>
    <row r="121" spans="2:11" ht="12" customHeight="1" x14ac:dyDescent="0.2">
      <c r="B121" s="1" t="s">
        <v>1</v>
      </c>
      <c r="E121" s="14"/>
      <c r="F121" s="14"/>
      <c r="G121" s="3" t="e">
        <f>_xlfn.IFNA(ROUND(VLOOKUP(B121,#REF!,4,FALSE),2),0)</f>
        <v>#REF!</v>
      </c>
      <c r="H121" s="29"/>
    </row>
    <row r="122" spans="2:11" ht="12" customHeight="1" x14ac:dyDescent="0.2">
      <c r="B122" s="1" t="s">
        <v>37</v>
      </c>
      <c r="E122" s="14"/>
      <c r="F122" s="14"/>
      <c r="G122" s="3" t="e">
        <f>_xlfn.IFNA(ROUND(VLOOKUP(B122,#REF!,4,FALSE),2),0)</f>
        <v>#REF!</v>
      </c>
      <c r="H122" s="29"/>
    </row>
    <row r="123" spans="2:11" ht="12" customHeight="1" x14ac:dyDescent="0.2">
      <c r="B123" s="1" t="s">
        <v>40</v>
      </c>
      <c r="E123" s="14"/>
      <c r="F123" s="14"/>
      <c r="G123" s="3" t="e">
        <f>_xlfn.IFNA(ROUND(VLOOKUP(B123,#REF!,4,FALSE),2),0)</f>
        <v>#REF!</v>
      </c>
      <c r="H123" s="29"/>
    </row>
    <row r="124" spans="2:11" ht="12" customHeight="1" x14ac:dyDescent="0.2">
      <c r="B124" s="1" t="s">
        <v>36</v>
      </c>
      <c r="E124" s="14"/>
      <c r="G124" s="3" t="e">
        <f>_xlfn.IFNA(ROUND(VLOOKUP(B124,#REF!,4,FALSE),2),0)</f>
        <v>#REF!</v>
      </c>
      <c r="H124" s="29"/>
    </row>
    <row r="125" spans="2:11" ht="12" customHeight="1" x14ac:dyDescent="0.2">
      <c r="B125" s="1" t="s">
        <v>9</v>
      </c>
      <c r="E125" s="14"/>
      <c r="F125" s="14"/>
      <c r="G125" s="4" t="e">
        <f>_xlfn.IFNA(ROUND(VLOOKUP("Allocation of Common Operating",#REF!,4,FALSE),2),0)</f>
        <v>#REF!</v>
      </c>
      <c r="H125" s="29"/>
      <c r="I125" s="35" t="e">
        <f>ROUND((SUM(G125,G130)/1000),2)</f>
        <v>#REF!</v>
      </c>
      <c r="J125" s="36">
        <f>'[2]2023 Budget Tables'!$E$30</f>
        <v>10.050000000000001</v>
      </c>
      <c r="K125" s="37" t="e">
        <f>I125-J125</f>
        <v>#REF!</v>
      </c>
    </row>
    <row r="126" spans="2:11" x14ac:dyDescent="0.2">
      <c r="B126" s="12" t="s">
        <v>26</v>
      </c>
      <c r="C126" s="12"/>
      <c r="E126" s="14"/>
      <c r="F126" s="20"/>
      <c r="G126" s="6" t="e">
        <f>SUM(G113:G125)</f>
        <v>#REF!</v>
      </c>
      <c r="H126" s="29"/>
    </row>
    <row r="127" spans="2:11" ht="12" customHeight="1" x14ac:dyDescent="0.2">
      <c r="F127" s="14"/>
      <c r="H127" s="29"/>
    </row>
    <row r="128" spans="2:11" ht="12" customHeight="1" x14ac:dyDescent="0.2">
      <c r="B128" s="9" t="str">
        <f>B21</f>
        <v>3rd Quarter Capital Budget:</v>
      </c>
      <c r="C128" s="12"/>
      <c r="H128" s="29"/>
    </row>
    <row r="129" spans="2:11" ht="12" customHeight="1" x14ac:dyDescent="0.2">
      <c r="B129" s="1" t="s">
        <v>29</v>
      </c>
      <c r="G129" s="2" t="e">
        <f>_xlfn.IFNA(ROUND(VLOOKUP(B129,#REF!,4,FALSE),2),0)</f>
        <v>#REF!</v>
      </c>
      <c r="H129" s="29"/>
    </row>
    <row r="130" spans="2:11" ht="12" customHeight="1" x14ac:dyDescent="0.2">
      <c r="B130" s="1" t="s">
        <v>17</v>
      </c>
      <c r="C130" s="12"/>
      <c r="G130" s="4" t="e">
        <f>_xlfn.IFNA(ROUND(VLOOKUP("Allocation of Common Capital",#REF!,4,FALSE),2),0)</f>
        <v>#REF!</v>
      </c>
      <c r="H130" s="29"/>
    </row>
    <row r="131" spans="2:11" ht="12" customHeight="1" x14ac:dyDescent="0.2">
      <c r="B131" s="12" t="s">
        <v>27</v>
      </c>
      <c r="C131" s="12"/>
      <c r="G131" s="6" t="e">
        <f>SUM(G129:G130)</f>
        <v>#REF!</v>
      </c>
      <c r="H131" s="29"/>
    </row>
    <row r="132" spans="2:11" ht="12" customHeight="1" x14ac:dyDescent="0.2">
      <c r="C132" s="12"/>
      <c r="H132" s="29"/>
    </row>
    <row r="133" spans="2:11" x14ac:dyDescent="0.2">
      <c r="C133" s="12" t="s">
        <v>28</v>
      </c>
      <c r="G133" s="6" t="e">
        <f>SUM(G126,G131)</f>
        <v>#REF!</v>
      </c>
      <c r="H133" s="29"/>
      <c r="I133" s="35" t="e">
        <f>ROUND((SUM(G133)/1000),2)</f>
        <v>#REF!</v>
      </c>
      <c r="J133" s="36">
        <f>'[2]2023 Budget Tables'!$E$31</f>
        <v>19.66</v>
      </c>
      <c r="K133" s="37" t="e">
        <f>I133-J133</f>
        <v>#REF!</v>
      </c>
    </row>
    <row r="134" spans="2:11" x14ac:dyDescent="0.2">
      <c r="C134" s="12"/>
      <c r="G134" s="6"/>
      <c r="H134" s="29"/>
    </row>
    <row r="135" spans="2:11" x14ac:dyDescent="0.2">
      <c r="C135" s="12"/>
      <c r="G135" s="6"/>
      <c r="H135" s="29"/>
    </row>
    <row r="136" spans="2:11" ht="15.75" x14ac:dyDescent="0.25">
      <c r="B136" s="80" t="s">
        <v>67</v>
      </c>
      <c r="C136" s="80"/>
      <c r="D136" s="80"/>
      <c r="E136" s="80"/>
      <c r="F136" s="80"/>
      <c r="G136" s="80"/>
      <c r="H136" s="29"/>
    </row>
    <row r="137" spans="2:11" x14ac:dyDescent="0.2">
      <c r="B137" s="81" t="s">
        <v>0</v>
      </c>
      <c r="C137" s="81"/>
      <c r="D137" s="81"/>
      <c r="E137" s="81"/>
      <c r="F137" s="81"/>
      <c r="G137" s="81"/>
      <c r="H137" s="29"/>
    </row>
    <row r="138" spans="2:11" ht="15.75" x14ac:dyDescent="0.25">
      <c r="E138" s="16"/>
      <c r="F138" s="17"/>
      <c r="H138" s="29"/>
    </row>
    <row r="139" spans="2:11" x14ac:dyDescent="0.2">
      <c r="B139" s="9" t="str">
        <f>B5</f>
        <v>3rd Quarter Operating Budget:</v>
      </c>
      <c r="G139" s="8"/>
      <c r="H139" s="29"/>
    </row>
    <row r="140" spans="2:11" x14ac:dyDescent="0.2">
      <c r="B140" s="1" t="s">
        <v>5</v>
      </c>
      <c r="E140" s="18"/>
      <c r="G140" s="2">
        <f>_xlfn.IFNA(ROUND(VLOOKUP(B140,'CCP PowerPlan Report'!A:F,4,FALSE),2),0)</f>
        <v>0</v>
      </c>
      <c r="H140" s="29"/>
      <c r="I140" s="35">
        <f>ROUND((SUM(G140:G142)/1000),2)</f>
        <v>0</v>
      </c>
      <c r="J140" s="36">
        <f>SUM('[2]2023 Budget Tables'!$E$80,'[2]2023 Budget Tables'!$E$85)</f>
        <v>0</v>
      </c>
      <c r="K140" s="37">
        <f>I140-J140</f>
        <v>0</v>
      </c>
    </row>
    <row r="141" spans="2:11" x14ac:dyDescent="0.2">
      <c r="B141" s="1" t="s">
        <v>30</v>
      </c>
      <c r="E141" s="14"/>
      <c r="G141" s="3">
        <f>_xlfn.IFNA(ROUND(VLOOKUP(B141,'CCP PowerPlan Report'!A:F,4,FALSE),2),0)</f>
        <v>0</v>
      </c>
      <c r="H141" s="29"/>
    </row>
    <row r="142" spans="2:11" x14ac:dyDescent="0.2">
      <c r="B142" s="1" t="s">
        <v>31</v>
      </c>
      <c r="E142" s="14"/>
      <c r="G142" s="3">
        <f>_xlfn.IFNA(ROUND(VLOOKUP(B142,'CCP PowerPlan Report'!A:F,4,FALSE),2),0)</f>
        <v>0</v>
      </c>
      <c r="H142" s="29"/>
    </row>
    <row r="143" spans="2:11" x14ac:dyDescent="0.2">
      <c r="B143" s="1" t="s">
        <v>32</v>
      </c>
      <c r="E143" s="14"/>
      <c r="G143" s="3">
        <f>_xlfn.IFNA(ROUND(VLOOKUP(B143,'CCP PowerPlan Report'!A:F,4,FALSE),2),0)</f>
        <v>0</v>
      </c>
      <c r="H143" s="29"/>
      <c r="I143" s="35">
        <f>ROUND((SUM(G143:G145,G155)/1000),2)</f>
        <v>0</v>
      </c>
      <c r="J143" s="36">
        <f>SUM('[2]2023 Budget Tables'!$E$81,'[2]2023 Budget Tables'!$E$86)</f>
        <v>0</v>
      </c>
      <c r="K143" s="37">
        <f>I143-J143</f>
        <v>0</v>
      </c>
    </row>
    <row r="144" spans="2:11" x14ac:dyDescent="0.2">
      <c r="B144" s="1" t="s">
        <v>33</v>
      </c>
      <c r="E144" s="14"/>
      <c r="G144" s="3">
        <f>_xlfn.IFNA(ROUND(VLOOKUP(B144,'CCP PowerPlan Report'!A:F,4,FALSE),2),0)</f>
        <v>0</v>
      </c>
      <c r="H144" s="29"/>
    </row>
    <row r="145" spans="2:11" x14ac:dyDescent="0.2">
      <c r="B145" s="1" t="s">
        <v>34</v>
      </c>
      <c r="E145" s="14"/>
      <c r="G145" s="30">
        <f>_xlfn.IFNA(ROUND(VLOOKUP(B145,'CCP PowerPlan Report'!A:F,4,FALSE),2),0)</f>
        <v>0</v>
      </c>
      <c r="H145" s="29"/>
    </row>
    <row r="146" spans="2:11" x14ac:dyDescent="0.2">
      <c r="B146" s="1" t="s">
        <v>35</v>
      </c>
      <c r="E146" s="14"/>
      <c r="G146" s="3">
        <f>_xlfn.IFNA(ROUND(VLOOKUP(B146,'CCP PowerPlan Report'!A:F,4,FALSE),2),0)</f>
        <v>0</v>
      </c>
      <c r="H146" s="29"/>
      <c r="I146" s="35">
        <f>ROUND((SUM(G146:G150)/1000),2)</f>
        <v>0</v>
      </c>
      <c r="J146" s="36">
        <f>SUM('[2]2023 Budget Tables'!$E$82,'[2]2023 Budget Tables'!$E$87)</f>
        <v>0</v>
      </c>
      <c r="K146" s="37">
        <f>I146-J146</f>
        <v>0</v>
      </c>
    </row>
    <row r="147" spans="2:11" x14ac:dyDescent="0.2">
      <c r="B147" s="1" t="s">
        <v>1</v>
      </c>
      <c r="E147" s="14"/>
      <c r="G147" s="3">
        <f>_xlfn.IFNA(ROUND(VLOOKUP(B147,'CCP PowerPlan Report'!A:F,4,FALSE),2),0)</f>
        <v>0</v>
      </c>
      <c r="H147" s="29"/>
    </row>
    <row r="148" spans="2:11" x14ac:dyDescent="0.2">
      <c r="B148" s="1" t="s">
        <v>37</v>
      </c>
      <c r="E148" s="14"/>
      <c r="G148" s="3">
        <f>_xlfn.IFNA(ROUND(VLOOKUP(B148,'CCP PowerPlan Report'!A:F,4,FALSE),2),0)</f>
        <v>0</v>
      </c>
      <c r="H148" s="29"/>
    </row>
    <row r="149" spans="2:11" x14ac:dyDescent="0.2">
      <c r="B149" s="1" t="s">
        <v>40</v>
      </c>
      <c r="E149" s="14"/>
      <c r="G149" s="3">
        <f>_xlfn.IFNA(ROUND(VLOOKUP(B149,'CCP PowerPlan Report'!A:F,4,FALSE),2),0)</f>
        <v>0</v>
      </c>
      <c r="H149" s="29"/>
    </row>
    <row r="150" spans="2:11" x14ac:dyDescent="0.2">
      <c r="B150" s="1" t="s">
        <v>36</v>
      </c>
      <c r="E150" s="14"/>
      <c r="G150" s="3">
        <f>_xlfn.IFNA(ROUND(VLOOKUP(B150,'CCP PowerPlan Report'!A:F,4,FALSE),2),0)</f>
        <v>0</v>
      </c>
      <c r="H150" s="29"/>
    </row>
    <row r="151" spans="2:11" x14ac:dyDescent="0.2">
      <c r="B151" s="1" t="s">
        <v>9</v>
      </c>
      <c r="E151" s="14"/>
      <c r="G151" s="4">
        <f>_xlfn.IFNA(ROUND(VLOOKUP("Allocation of Common Operating",'CCP PowerPlan Report'!A:F,4,FALSE),2),0)</f>
        <v>0</v>
      </c>
      <c r="H151" s="29"/>
      <c r="I151" s="35">
        <f>ROUND((SUM(G151,G156)/1000),2)</f>
        <v>0</v>
      </c>
      <c r="J151" s="36">
        <f>'[2]2023 Budget Tables'!$E$90</f>
        <v>0.08</v>
      </c>
      <c r="K151" s="37">
        <f>I151-J151</f>
        <v>-0.08</v>
      </c>
    </row>
    <row r="152" spans="2:11" x14ac:dyDescent="0.2">
      <c r="B152" s="12" t="s">
        <v>69</v>
      </c>
      <c r="G152" s="6">
        <f>SUM(G140:G151)</f>
        <v>0</v>
      </c>
      <c r="H152" s="29"/>
    </row>
    <row r="153" spans="2:11" x14ac:dyDescent="0.2">
      <c r="B153" s="12"/>
      <c r="G153" s="15"/>
      <c r="H153" s="29"/>
    </row>
    <row r="154" spans="2:11" x14ac:dyDescent="0.2">
      <c r="B154" s="9" t="str">
        <f>B21</f>
        <v>3rd Quarter Capital Budget:</v>
      </c>
      <c r="C154" s="12"/>
      <c r="H154" s="29"/>
    </row>
    <row r="155" spans="2:11" x14ac:dyDescent="0.2">
      <c r="B155" s="1" t="s">
        <v>29</v>
      </c>
      <c r="G155" s="2">
        <f>_xlfn.IFNA(ROUND(VLOOKUP(B155,'CCP PowerPlan Report'!A:F,4,FALSE),2),0)</f>
        <v>0</v>
      </c>
      <c r="H155" s="29"/>
    </row>
    <row r="156" spans="2:11" x14ac:dyDescent="0.2">
      <c r="B156" s="1" t="s">
        <v>17</v>
      </c>
      <c r="C156" s="12"/>
      <c r="G156" s="4">
        <f>_xlfn.IFNA(ROUND(VLOOKUP("Allocation of Common Capital",'CCP PowerPlan Report'!A:F,4,FALSE),2),0)</f>
        <v>0</v>
      </c>
      <c r="H156" s="29"/>
    </row>
    <row r="157" spans="2:11" x14ac:dyDescent="0.2">
      <c r="B157" s="12" t="s">
        <v>70</v>
      </c>
      <c r="C157" s="12"/>
      <c r="G157" s="6">
        <f>SUM(G156:G156)</f>
        <v>0</v>
      </c>
      <c r="H157" s="29"/>
    </row>
    <row r="158" spans="2:11" x14ac:dyDescent="0.2">
      <c r="C158" s="12"/>
      <c r="H158" s="29"/>
    </row>
    <row r="159" spans="2:11" x14ac:dyDescent="0.2">
      <c r="C159" s="12" t="s">
        <v>68</v>
      </c>
      <c r="G159" s="6">
        <f>SUM(G152,G157)</f>
        <v>0</v>
      </c>
      <c r="H159" s="31"/>
      <c r="I159" s="35">
        <f>ROUND((SUM(G159)/1000),2)</f>
        <v>0</v>
      </c>
      <c r="J159" s="36">
        <f>'[2]2023 Budget Tables'!$E$91</f>
        <v>0.08</v>
      </c>
      <c r="K159" s="37">
        <f>I159-J159</f>
        <v>-0.08</v>
      </c>
    </row>
    <row r="160" spans="2:11" x14ac:dyDescent="0.2">
      <c r="B160" s="12"/>
      <c r="F160" s="20"/>
      <c r="G160" s="21"/>
      <c r="H160" s="32"/>
    </row>
    <row r="161" spans="1:11" s="24" customFormat="1" x14ac:dyDescent="0.2">
      <c r="A161" s="22"/>
      <c r="B161" s="22"/>
      <c r="C161" s="22"/>
      <c r="D161" s="22"/>
      <c r="E161" s="52" t="s">
        <v>65</v>
      </c>
      <c r="F161" s="22"/>
      <c r="G161" s="23" t="e">
        <f>G18-G45-G72-G98-G125-G151</f>
        <v>#REF!</v>
      </c>
      <c r="H161" s="33"/>
      <c r="I161" s="38"/>
      <c r="J161" s="39"/>
      <c r="K161" s="40"/>
    </row>
    <row r="162" spans="1:11" s="24" customFormat="1" x14ac:dyDescent="0.2">
      <c r="A162" s="22"/>
      <c r="B162" s="22"/>
      <c r="C162" s="22"/>
      <c r="D162" s="22"/>
      <c r="E162" s="52" t="s">
        <v>66</v>
      </c>
      <c r="F162" s="22"/>
      <c r="G162" s="23" t="e">
        <f>G22-G50-G77-G103-G130-G156</f>
        <v>#REF!</v>
      </c>
      <c r="H162" s="33"/>
      <c r="I162" s="38"/>
      <c r="J162" s="39"/>
      <c r="K162" s="37"/>
    </row>
  </sheetData>
  <mergeCells count="14">
    <mergeCell ref="B83:G83"/>
    <mergeCell ref="B136:G136"/>
    <mergeCell ref="B137:G137"/>
    <mergeCell ref="B56:G56"/>
    <mergeCell ref="B2:G2"/>
    <mergeCell ref="B3:G3"/>
    <mergeCell ref="B84:G84"/>
    <mergeCell ref="B109:G109"/>
    <mergeCell ref="B110:G110"/>
    <mergeCell ref="L9:M12"/>
    <mergeCell ref="I4:K4"/>
    <mergeCell ref="B30:G30"/>
    <mergeCell ref="B31:G31"/>
    <mergeCell ref="B57:G57"/>
  </mergeCells>
  <conditionalFormatting sqref="K1:K3 K6:K43 K45:K96">
    <cfRule type="cellIs" dxfId="7" priority="7" operator="lessThan">
      <formula>0</formula>
    </cfRule>
    <cfRule type="cellIs" dxfId="6" priority="8" operator="greaterThan">
      <formula>0</formula>
    </cfRule>
  </conditionalFormatting>
  <conditionalFormatting sqref="K98:K149 K151:K1048576">
    <cfRule type="cellIs" dxfId="5" priority="1" operator="lessThan">
      <formula>0</formula>
    </cfRule>
    <cfRule type="cellIs" dxfId="4" priority="2" operator="greaterThan">
      <formula>0</formula>
    </cfRule>
  </conditionalFormatting>
  <printOptions horizontalCentered="1"/>
  <pageMargins left="0.5" right="0.5" top="1.25" bottom="0.75" header="0.5" footer="0.5"/>
  <pageSetup scale="40" orientation="portrait" r:id="rId1"/>
  <headerFooter alignWithMargins="0">
    <oddHeader>&amp;C&amp;"Times New Roman,Bold"&amp;12Universal Service Administrative Company 
&amp;"Times New Roman,Regular"  3rd Quarter 2023 Budget
&amp;R&amp;"Aptos"&amp;14&amp;K000000 A&amp;1#_x000D_&amp;"Arialri"&amp;10&amp;K000000&amp;"Times New Roman,Regular"Available for Public Use
Appendix M01
 3Q2023
Page &amp;P of &amp;N</oddHeader>
    <oddFooter>&amp;L&amp;"Times New Roman,Regular"USAC&amp;R&amp;"Times New Roman,Regular"May 2, 2023</oddFooter>
  </headerFooter>
  <rowBreaks count="2" manualBreakCount="2">
    <brk id="53" min="1" max="6" man="1"/>
    <brk id="10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pageSetUpPr fitToPage="1"/>
  </sheetPr>
  <dimension ref="A1:M165"/>
  <sheetViews>
    <sheetView showGridLines="0" zoomScale="110" zoomScaleNormal="110" zoomScaleSheetLayoutView="110" workbookViewId="0">
      <selection activeCell="E40" sqref="E40"/>
    </sheetView>
  </sheetViews>
  <sheetFormatPr defaultColWidth="8.7109375" defaultRowHeight="12.75" x14ac:dyDescent="0.2"/>
  <cols>
    <col min="1" max="1" width="9.7109375" style="1" customWidth="1"/>
    <col min="2" max="2" width="8.7109375" style="1"/>
    <col min="3" max="3" width="13.7109375" style="1" customWidth="1"/>
    <col min="4" max="4" width="3.7109375" style="1" customWidth="1"/>
    <col min="5" max="5" width="11.28515625" style="1" customWidth="1"/>
    <col min="6" max="6" width="21.28515625" style="1" customWidth="1"/>
    <col min="7" max="7" width="18.7109375" style="3" customWidth="1"/>
    <col min="8" max="8" width="18.7109375" style="30" customWidth="1"/>
    <col min="9" max="9" width="16.7109375" style="35" customWidth="1"/>
    <col min="10" max="10" width="16.7109375" style="36" customWidth="1"/>
    <col min="11" max="11" width="16.7109375" style="37" customWidth="1"/>
    <col min="12" max="12" width="2.7109375" style="7" customWidth="1"/>
    <col min="13" max="13" width="77" style="7" bestFit="1" customWidth="1"/>
    <col min="14" max="16384" width="8.7109375" style="7"/>
  </cols>
  <sheetData>
    <row r="1" spans="2:13" x14ac:dyDescent="0.2">
      <c r="I1" s="49"/>
      <c r="J1" s="50"/>
      <c r="K1" s="51"/>
    </row>
    <row r="2" spans="2:13" ht="15" customHeight="1" x14ac:dyDescent="0.25">
      <c r="B2" s="80" t="s">
        <v>4</v>
      </c>
      <c r="C2" s="80"/>
      <c r="D2" s="80"/>
      <c r="E2" s="80"/>
      <c r="F2" s="80"/>
      <c r="G2" s="80"/>
      <c r="H2" s="26"/>
    </row>
    <row r="3" spans="2:13" ht="12" customHeight="1" x14ac:dyDescent="0.2">
      <c r="B3" s="81" t="s">
        <v>0</v>
      </c>
      <c r="C3" s="81"/>
      <c r="D3" s="81"/>
      <c r="E3" s="81"/>
      <c r="F3" s="81"/>
      <c r="G3" s="81"/>
      <c r="H3" s="27"/>
    </row>
    <row r="4" spans="2:13" ht="12" customHeight="1" x14ac:dyDescent="0.2">
      <c r="G4" s="8"/>
      <c r="H4" s="28"/>
      <c r="I4" s="82" t="s">
        <v>41</v>
      </c>
      <c r="J4" s="83"/>
      <c r="K4" s="84"/>
    </row>
    <row r="5" spans="2:13" ht="12" customHeight="1" x14ac:dyDescent="0.2">
      <c r="B5" s="9" t="s">
        <v>44</v>
      </c>
      <c r="G5" s="8"/>
      <c r="H5" s="28"/>
      <c r="I5" s="35" t="s">
        <v>47</v>
      </c>
      <c r="J5" s="36" t="s">
        <v>42</v>
      </c>
      <c r="K5" s="37" t="s">
        <v>43</v>
      </c>
    </row>
    <row r="6" spans="2:13" ht="12" customHeight="1" x14ac:dyDescent="0.2">
      <c r="B6" s="1" t="s">
        <v>5</v>
      </c>
      <c r="E6" s="10"/>
      <c r="F6" s="10"/>
      <c r="G6" s="2" t="e">
        <f>_xlfn.IFNA(ROUND(VLOOKUP(B6,#REF!,5,FALSE),2),0)</f>
        <v>#REF!</v>
      </c>
      <c r="H6" s="29"/>
      <c r="I6" s="35" t="e">
        <f>ROUND((SUM(G6:G8)/1000),2)</f>
        <v>#REF!</v>
      </c>
      <c r="J6" s="36">
        <f>'[3]2023 Budget Tables'!$F$13</f>
        <v>16.559999999999999</v>
      </c>
      <c r="K6" s="37" t="e">
        <f>I6-J6</f>
        <v>#REF!</v>
      </c>
    </row>
    <row r="7" spans="2:13" ht="12" customHeight="1" x14ac:dyDescent="0.2">
      <c r="B7" s="1" t="s">
        <v>30</v>
      </c>
      <c r="G7" s="3" t="e">
        <f>_xlfn.IFNA(ROUND(VLOOKUP(B7,#REF!,5,FALSE),2),0)</f>
        <v>#REF!</v>
      </c>
      <c r="H7" s="29"/>
    </row>
    <row r="8" spans="2:13" ht="12" customHeight="1" x14ac:dyDescent="0.2">
      <c r="B8" s="1" t="s">
        <v>31</v>
      </c>
      <c r="G8" s="3" t="e">
        <f>_xlfn.IFNA(ROUND(VLOOKUP(B8,#REF!,5,FALSE),2),0)</f>
        <v>#REF!</v>
      </c>
      <c r="H8" s="29"/>
    </row>
    <row r="9" spans="2:13" ht="12" customHeight="1" x14ac:dyDescent="0.2">
      <c r="B9" s="1" t="s">
        <v>32</v>
      </c>
      <c r="G9" s="3" t="e">
        <f>_xlfn.IFNA(ROUND(VLOOKUP(B9,#REF!,5,FALSE),2),0)</f>
        <v>#REF!</v>
      </c>
      <c r="H9" s="29"/>
      <c r="I9" s="35" t="e">
        <f>ROUND((SUM(G9:G11)/1000),2)</f>
        <v>#REF!</v>
      </c>
      <c r="J9" s="36">
        <f>'[3]2023 Budget Tables'!$F$14</f>
        <v>9.23</v>
      </c>
      <c r="K9" s="37" t="e">
        <f>I9-J9</f>
        <v>#REF!</v>
      </c>
      <c r="M9" s="7" t="s">
        <v>79</v>
      </c>
    </row>
    <row r="10" spans="2:13" ht="12" customHeight="1" x14ac:dyDescent="0.2">
      <c r="B10" s="1" t="s">
        <v>33</v>
      </c>
      <c r="G10" s="3" t="e">
        <f>_xlfn.IFNA(ROUND(VLOOKUP(B10,#REF!,5,FALSE),2),0)</f>
        <v>#REF!</v>
      </c>
      <c r="H10" s="29"/>
    </row>
    <row r="11" spans="2:13" ht="12" customHeight="1" x14ac:dyDescent="0.2">
      <c r="B11" s="1" t="s">
        <v>34</v>
      </c>
      <c r="G11" s="3" t="e">
        <f>_xlfn.IFNA(ROUND(VLOOKUP(B11,#REF!,5,FALSE),2),0)</f>
        <v>#REF!</v>
      </c>
      <c r="H11" s="29"/>
    </row>
    <row r="12" spans="2:13" ht="12" customHeight="1" x14ac:dyDescent="0.2">
      <c r="B12" s="1" t="s">
        <v>35</v>
      </c>
      <c r="G12" s="3" t="e">
        <f>_xlfn.IFNA(ROUND(VLOOKUP(B12,#REF!,5,FALSE),2),0)</f>
        <v>#REF!</v>
      </c>
      <c r="H12" s="29"/>
      <c r="I12" s="35" t="e">
        <f>ROUND((SUM(G12:G17,G22)/1000),2)</f>
        <v>#REF!</v>
      </c>
      <c r="J12" s="36">
        <f>'[3]2023 Budget Tables'!$F$15</f>
        <v>7.42</v>
      </c>
      <c r="K12" s="37" t="e">
        <f>I12-J12</f>
        <v>#REF!</v>
      </c>
    </row>
    <row r="13" spans="2:13" ht="12" customHeight="1" x14ac:dyDescent="0.2">
      <c r="B13" s="11" t="s">
        <v>1</v>
      </c>
      <c r="G13" s="3" t="e">
        <f>_xlfn.IFNA(ROUND(VLOOKUP(B13,#REF!,5,FALSE),2),0)</f>
        <v>#REF!</v>
      </c>
      <c r="H13" s="29"/>
    </row>
    <row r="14" spans="2:13" ht="12" customHeight="1" x14ac:dyDescent="0.2">
      <c r="B14" s="1" t="s">
        <v>37</v>
      </c>
      <c r="G14" s="3" t="e">
        <f>_xlfn.IFNA(ROUND(VLOOKUP(B14,#REF!,5,FALSE),2),0)</f>
        <v>#REF!</v>
      </c>
      <c r="H14" s="29"/>
    </row>
    <row r="15" spans="2:13" ht="12" customHeight="1" x14ac:dyDescent="0.2">
      <c r="B15" s="1" t="s">
        <v>40</v>
      </c>
      <c r="G15" s="3" t="e">
        <f>_xlfn.IFNA(ROUND(VLOOKUP(B15,#REF!,5,FALSE),2),0)</f>
        <v>#REF!</v>
      </c>
      <c r="H15" s="29"/>
    </row>
    <row r="16" spans="2:13" ht="12" customHeight="1" x14ac:dyDescent="0.2">
      <c r="B16" s="1" t="s">
        <v>36</v>
      </c>
      <c r="G16" s="45" t="e">
        <f>_xlfn.IFNA(ROUND(VLOOKUP(B16,#REF!,5,FALSE),2),0)</f>
        <v>#REF!</v>
      </c>
      <c r="H16" s="29"/>
    </row>
    <row r="17" spans="2:11" ht="12" customHeight="1" x14ac:dyDescent="0.2">
      <c r="B17" s="1" t="s">
        <v>10</v>
      </c>
      <c r="G17" s="4" t="e">
        <f>_xlfn.IFNA(ROUND(VLOOKUP(B17,#REF!,5,FALSE),2),0)</f>
        <v>#REF!</v>
      </c>
      <c r="H17" s="29"/>
    </row>
    <row r="18" spans="2:11" ht="12" customHeight="1" x14ac:dyDescent="0.2">
      <c r="G18" s="6" t="e">
        <f>SUM(G6:G17)</f>
        <v>#REF!</v>
      </c>
      <c r="H18" s="29"/>
    </row>
    <row r="19" spans="2:11" ht="12" customHeight="1" x14ac:dyDescent="0.2">
      <c r="B19" s="1" t="s">
        <v>2</v>
      </c>
      <c r="C19" s="12" t="s">
        <v>13</v>
      </c>
      <c r="H19" s="29"/>
    </row>
    <row r="20" spans="2:11" ht="12" customHeight="1" x14ac:dyDescent="0.2">
      <c r="C20" s="12"/>
      <c r="H20" s="29"/>
    </row>
    <row r="21" spans="2:11" ht="12" customHeight="1" x14ac:dyDescent="0.2">
      <c r="B21" s="9" t="s">
        <v>45</v>
      </c>
      <c r="C21" s="12"/>
      <c r="H21" s="29"/>
    </row>
    <row r="22" spans="2:11" ht="12" customHeight="1" x14ac:dyDescent="0.2">
      <c r="B22" s="1" t="s">
        <v>12</v>
      </c>
      <c r="C22" s="12"/>
      <c r="G22" s="5" t="e">
        <f>_xlfn.IFNA(ROUND(VLOOKUP("Direct Capital Costs",#REF!,5,FALSE),2),0)</f>
        <v>#REF!</v>
      </c>
      <c r="H22" s="29"/>
    </row>
    <row r="23" spans="2:11" ht="12" customHeight="1" x14ac:dyDescent="0.2">
      <c r="C23" s="12" t="s">
        <v>14</v>
      </c>
      <c r="G23" s="6" t="e">
        <f t="shared" ref="G23" si="0">SUM(G22)</f>
        <v>#REF!</v>
      </c>
      <c r="H23" s="29"/>
    </row>
    <row r="24" spans="2:11" ht="12" customHeight="1" x14ac:dyDescent="0.2">
      <c r="C24" s="12"/>
      <c r="H24" s="29"/>
    </row>
    <row r="25" spans="2:11" ht="12" customHeight="1" x14ac:dyDescent="0.2">
      <c r="C25" s="12" t="s">
        <v>15</v>
      </c>
      <c r="G25" s="6" t="e">
        <f>SUM(G18,G23)</f>
        <v>#REF!</v>
      </c>
      <c r="H25" s="29"/>
      <c r="I25" s="35" t="e">
        <f>ROUND(G25/1000,2)</f>
        <v>#REF!</v>
      </c>
      <c r="J25" s="36">
        <f>'[3]2023 Budget Tables'!$F$16</f>
        <v>33.21</v>
      </c>
      <c r="K25" s="37" t="e">
        <f>I25-J25</f>
        <v>#REF!</v>
      </c>
    </row>
    <row r="26" spans="2:11" ht="12" customHeight="1" x14ac:dyDescent="0.2">
      <c r="C26" s="12"/>
      <c r="H26" s="29"/>
    </row>
    <row r="27" spans="2:11" ht="12" customHeight="1" x14ac:dyDescent="0.2">
      <c r="C27" s="12" t="s">
        <v>3</v>
      </c>
      <c r="H27" s="29"/>
    </row>
    <row r="28" spans="2:11" ht="12" customHeight="1" x14ac:dyDescent="0.2">
      <c r="C28" s="12"/>
      <c r="H28" s="29"/>
    </row>
    <row r="29" spans="2:11" ht="15" customHeight="1" x14ac:dyDescent="0.2">
      <c r="C29" s="12"/>
      <c r="H29" s="29"/>
    </row>
    <row r="30" spans="2:11" ht="15.75" x14ac:dyDescent="0.25">
      <c r="B30" s="79" t="s">
        <v>11</v>
      </c>
      <c r="C30" s="79"/>
      <c r="D30" s="79"/>
      <c r="E30" s="79"/>
      <c r="F30" s="79"/>
      <c r="G30" s="79"/>
      <c r="H30" s="29"/>
    </row>
    <row r="31" spans="2:11" ht="12" customHeight="1" x14ac:dyDescent="0.2">
      <c r="B31" s="81" t="s">
        <v>0</v>
      </c>
      <c r="C31" s="81"/>
      <c r="D31" s="81"/>
      <c r="E31" s="81"/>
      <c r="F31" s="81"/>
      <c r="G31" s="81"/>
      <c r="H31" s="29"/>
    </row>
    <row r="32" spans="2:11" ht="12" customHeight="1" x14ac:dyDescent="0.2">
      <c r="H32" s="29"/>
    </row>
    <row r="33" spans="2:11" ht="12" customHeight="1" x14ac:dyDescent="0.2">
      <c r="B33" s="9" t="str">
        <f>B5</f>
        <v>4th Quarter Operating Budget:</v>
      </c>
      <c r="F33" s="13"/>
      <c r="G33" s="8"/>
      <c r="H33" s="29"/>
    </row>
    <row r="34" spans="2:11" ht="12" customHeight="1" x14ac:dyDescent="0.2">
      <c r="B34" s="1" t="s">
        <v>5</v>
      </c>
      <c r="G34" s="2" t="e">
        <f>_xlfn.IFNA(ROUND(VLOOKUP(B34,#REF!,5,FALSE),2),0)</f>
        <v>#REF!</v>
      </c>
      <c r="H34" s="29"/>
      <c r="I34" s="35" t="e">
        <f>ROUND((SUM(G34:G36)/1000),2)</f>
        <v>#REF!</v>
      </c>
      <c r="J34" s="36">
        <f>SUM('[3]2023 Budget Tables'!$F$36,'[3]2023 Budget Tables'!$F$41)</f>
        <v>2.5499999999999998</v>
      </c>
      <c r="K34" s="37" t="e">
        <f>I34-J34</f>
        <v>#REF!</v>
      </c>
    </row>
    <row r="35" spans="2:11" ht="12" customHeight="1" x14ac:dyDescent="0.2">
      <c r="B35" s="1" t="s">
        <v>30</v>
      </c>
      <c r="G35" s="3" t="e">
        <f>_xlfn.IFNA(ROUND(VLOOKUP(B35,#REF!,5,FALSE),2),0)</f>
        <v>#REF!</v>
      </c>
      <c r="H35" s="29"/>
    </row>
    <row r="36" spans="2:11" ht="12" customHeight="1" x14ac:dyDescent="0.2">
      <c r="B36" s="1" t="s">
        <v>31</v>
      </c>
      <c r="G36" s="3" t="e">
        <f>_xlfn.IFNA(ROUND(VLOOKUP(B36,#REF!,5,FALSE),2),0)</f>
        <v>#REF!</v>
      </c>
      <c r="H36" s="29"/>
    </row>
    <row r="37" spans="2:11" ht="12" customHeight="1" x14ac:dyDescent="0.2">
      <c r="B37" s="1" t="s">
        <v>32</v>
      </c>
      <c r="G37" s="3" t="e">
        <f>_xlfn.IFNA(ROUND(VLOOKUP(B37,#REF!,5,FALSE),2),0)</f>
        <v>#REF!</v>
      </c>
      <c r="H37" s="29"/>
      <c r="I37" s="35" t="e">
        <f>ROUND((SUM(G37:G39,G49)/1000),2)</f>
        <v>#REF!</v>
      </c>
      <c r="J37" s="36">
        <f>SUM('[3]2023 Budget Tables'!$F$37,'[3]2023 Budget Tables'!$F$42)</f>
        <v>3.73</v>
      </c>
      <c r="K37" s="37" t="e">
        <f>I37-J37</f>
        <v>#REF!</v>
      </c>
    </row>
    <row r="38" spans="2:11" ht="12" customHeight="1" x14ac:dyDescent="0.2">
      <c r="B38" s="1" t="s">
        <v>33</v>
      </c>
      <c r="G38" s="3" t="e">
        <f>_xlfn.IFNA(ROUND(VLOOKUP(B38,#REF!,5,FALSE),2),0)</f>
        <v>#REF!</v>
      </c>
      <c r="H38" s="29"/>
    </row>
    <row r="39" spans="2:11" ht="12" customHeight="1" x14ac:dyDescent="0.2">
      <c r="B39" s="1" t="s">
        <v>34</v>
      </c>
      <c r="G39" s="3" t="e">
        <f>_xlfn.IFNA(ROUND(VLOOKUP(B39,#REF!,5,FALSE),2),0)</f>
        <v>#REF!</v>
      </c>
      <c r="H39" s="29"/>
    </row>
    <row r="40" spans="2:11" ht="12" customHeight="1" x14ac:dyDescent="0.2">
      <c r="B40" s="1" t="s">
        <v>35</v>
      </c>
      <c r="G40" s="3" t="e">
        <f>_xlfn.IFNA(ROUND(VLOOKUP(B40,#REF!,5,FALSE),2),0)</f>
        <v>#REF!</v>
      </c>
      <c r="H40" s="29"/>
      <c r="I40" s="35" t="e">
        <f>ROUND((SUM(G40:G44)/1000),2)</f>
        <v>#REF!</v>
      </c>
      <c r="J40" s="36">
        <f>SUM('[3]2023 Budget Tables'!$F$38,'[3]2023 Budget Tables'!$F$43)</f>
        <v>0.24000000000000002</v>
      </c>
      <c r="K40" s="37" t="e">
        <f>I40-J40</f>
        <v>#REF!</v>
      </c>
    </row>
    <row r="41" spans="2:11" ht="12" customHeight="1" x14ac:dyDescent="0.2">
      <c r="B41" s="1" t="s">
        <v>1</v>
      </c>
      <c r="G41" s="3" t="e">
        <f>_xlfn.IFNA(ROUND(VLOOKUP(B41,#REF!,5,FALSE),2),0)</f>
        <v>#REF!</v>
      </c>
      <c r="H41" s="29"/>
    </row>
    <row r="42" spans="2:11" ht="12" customHeight="1" x14ac:dyDescent="0.2">
      <c r="B42" s="1" t="s">
        <v>37</v>
      </c>
      <c r="G42" s="3" t="e">
        <f>_xlfn.IFNA(ROUND(VLOOKUP(B42,#REF!,5,FALSE),2),0)</f>
        <v>#REF!</v>
      </c>
      <c r="H42" s="29"/>
    </row>
    <row r="43" spans="2:11" ht="12" customHeight="1" x14ac:dyDescent="0.2">
      <c r="B43" s="1" t="s">
        <v>40</v>
      </c>
      <c r="G43" s="3" t="e">
        <f>_xlfn.IFNA(ROUND(VLOOKUP(B43,#REF!,5,FALSE),2),0)</f>
        <v>#REF!</v>
      </c>
      <c r="H43" s="29"/>
    </row>
    <row r="44" spans="2:11" ht="12" customHeight="1" x14ac:dyDescent="0.2">
      <c r="B44" s="1" t="s">
        <v>36</v>
      </c>
      <c r="E44" s="14"/>
      <c r="G44" s="3" t="e">
        <f>_xlfn.IFNA(ROUND(VLOOKUP(B44,#REF!,5,FALSE),2),0)</f>
        <v>#REF!</v>
      </c>
      <c r="H44" s="29"/>
    </row>
    <row r="45" spans="2:11" ht="12" customHeight="1" x14ac:dyDescent="0.2">
      <c r="B45" s="1" t="s">
        <v>9</v>
      </c>
      <c r="G45" s="4" t="e">
        <f>_xlfn.IFNA(ROUND(VLOOKUP("Allocation of Common Operating",#REF!,5,FALSE),2),0)</f>
        <v>#REF!</v>
      </c>
      <c r="H45" s="29"/>
      <c r="I45" s="35" t="e">
        <f>ROUND((SUM(G45,G50)/1000),2)</f>
        <v>#REF!</v>
      </c>
      <c r="J45" s="36">
        <f>'[3]2023 Budget Tables'!$F$46</f>
        <v>11.62</v>
      </c>
      <c r="K45" s="37" t="e">
        <f>I45-J45</f>
        <v>#REF!</v>
      </c>
    </row>
    <row r="46" spans="2:11" ht="12" customHeight="1" x14ac:dyDescent="0.2">
      <c r="B46" s="12" t="s">
        <v>16</v>
      </c>
      <c r="E46" s="14"/>
      <c r="G46" s="6" t="e">
        <f>SUM(G34:G45)</f>
        <v>#REF!</v>
      </c>
      <c r="H46" s="29"/>
    </row>
    <row r="47" spans="2:11" ht="12" customHeight="1" x14ac:dyDescent="0.2">
      <c r="B47" s="12"/>
      <c r="E47" s="14"/>
      <c r="G47" s="15"/>
      <c r="H47" s="29"/>
    </row>
    <row r="48" spans="2:11" ht="12" customHeight="1" x14ac:dyDescent="0.2">
      <c r="B48" s="9" t="str">
        <f>B21</f>
        <v>4th Quarter Capital Budget:</v>
      </c>
      <c r="C48" s="12"/>
      <c r="H48" s="29"/>
    </row>
    <row r="49" spans="2:11" ht="12" customHeight="1" x14ac:dyDescent="0.2">
      <c r="B49" s="1" t="s">
        <v>29</v>
      </c>
      <c r="C49" s="12"/>
      <c r="G49" s="2" t="e">
        <f>_xlfn.IFNA(ROUND(VLOOKUP(B49,#REF!,5,FALSE),2),0)</f>
        <v>#REF!</v>
      </c>
      <c r="H49" s="29"/>
    </row>
    <row r="50" spans="2:11" ht="12" customHeight="1" x14ac:dyDescent="0.2">
      <c r="B50" s="1" t="s">
        <v>17</v>
      </c>
      <c r="C50" s="12"/>
      <c r="G50" s="4" t="e">
        <f>_xlfn.IFNA(ROUND(VLOOKUP("Allocation of Common Capital",#REF!,5,FALSE),2),0)</f>
        <v>#REF!</v>
      </c>
      <c r="H50" s="29"/>
    </row>
    <row r="51" spans="2:11" ht="12" customHeight="1" x14ac:dyDescent="0.2">
      <c r="B51" s="12" t="s">
        <v>18</v>
      </c>
      <c r="C51" s="12"/>
      <c r="G51" s="6" t="e">
        <f>SUM(G49:G50)</f>
        <v>#REF!</v>
      </c>
      <c r="H51" s="29"/>
    </row>
    <row r="52" spans="2:11" ht="12" customHeight="1" x14ac:dyDescent="0.2">
      <c r="C52" s="12"/>
      <c r="H52" s="29"/>
    </row>
    <row r="53" spans="2:11" ht="12" customHeight="1" x14ac:dyDescent="0.2">
      <c r="C53" s="12" t="s">
        <v>19</v>
      </c>
      <c r="G53" s="6" t="e">
        <f>SUM(G46,G51)</f>
        <v>#REF!</v>
      </c>
      <c r="H53" s="29"/>
      <c r="I53" s="35" t="e">
        <f>ROUND((SUM(G53)/1000),2)</f>
        <v>#REF!</v>
      </c>
      <c r="J53" s="36">
        <f>'[3]2023 Budget Tables'!$F$47</f>
        <v>18.14</v>
      </c>
      <c r="K53" s="37" t="e">
        <f>I53-J53</f>
        <v>#REF!</v>
      </c>
    </row>
    <row r="54" spans="2:11" ht="12" customHeight="1" x14ac:dyDescent="0.2">
      <c r="C54" s="12"/>
      <c r="H54" s="29"/>
    </row>
    <row r="55" spans="2:11" ht="15" customHeight="1" x14ac:dyDescent="0.2">
      <c r="C55" s="12"/>
      <c r="H55" s="29"/>
    </row>
    <row r="56" spans="2:11" ht="15.75" x14ac:dyDescent="0.25">
      <c r="B56" s="79" t="s">
        <v>7</v>
      </c>
      <c r="C56" s="79"/>
      <c r="D56" s="79"/>
      <c r="E56" s="79"/>
      <c r="F56" s="79"/>
      <c r="G56" s="79"/>
      <c r="H56" s="29"/>
    </row>
    <row r="57" spans="2:11" ht="12" customHeight="1" x14ac:dyDescent="0.2">
      <c r="B57" s="81" t="s">
        <v>0</v>
      </c>
      <c r="C57" s="81"/>
      <c r="D57" s="81"/>
      <c r="E57" s="81"/>
      <c r="F57" s="81"/>
      <c r="G57" s="81"/>
      <c r="H57" s="29"/>
    </row>
    <row r="58" spans="2:11" ht="13.5" customHeight="1" x14ac:dyDescent="0.2">
      <c r="B58" s="12"/>
      <c r="E58" s="16"/>
      <c r="H58" s="29"/>
    </row>
    <row r="59" spans="2:11" x14ac:dyDescent="0.2">
      <c r="B59" s="9" t="str">
        <f>B5</f>
        <v>4th Quarter Operating Budget:</v>
      </c>
      <c r="E59" s="14"/>
      <c r="G59" s="8"/>
      <c r="H59" s="29"/>
    </row>
    <row r="60" spans="2:11" ht="12" customHeight="1" x14ac:dyDescent="0.2">
      <c r="B60" s="1" t="s">
        <v>5</v>
      </c>
      <c r="E60" s="14"/>
      <c r="G60" s="29" t="e">
        <f>_xlfn.IFNA(ROUND(VLOOKUP(B60,#REF!,5,FALSE),2),0)</f>
        <v>#REF!</v>
      </c>
      <c r="H60" s="29"/>
      <c r="I60" s="35" t="e">
        <f>ROUND((SUM(G60:G62)/1000),2)</f>
        <v>#REF!</v>
      </c>
      <c r="J60" s="36">
        <f>SUM('[3]2023 Budget Tables'!$F$51,'[3]2023 Budget Tables'!$F$56)</f>
        <v>3.7800000000000002</v>
      </c>
      <c r="K60" s="37" t="e">
        <f>I60-J60</f>
        <v>#REF!</v>
      </c>
    </row>
    <row r="61" spans="2:11" ht="12" customHeight="1" x14ac:dyDescent="0.2">
      <c r="B61" s="1" t="s">
        <v>30</v>
      </c>
      <c r="E61" s="14"/>
      <c r="G61" s="30" t="e">
        <f>_xlfn.IFNA(ROUND(VLOOKUP(B61,#REF!,5,FALSE),2),0)</f>
        <v>#REF!</v>
      </c>
      <c r="H61" s="29"/>
    </row>
    <row r="62" spans="2:11" ht="12" customHeight="1" x14ac:dyDescent="0.2">
      <c r="B62" s="1" t="s">
        <v>31</v>
      </c>
      <c r="E62" s="14"/>
      <c r="G62" s="30" t="e">
        <f>_xlfn.IFNA(ROUND(VLOOKUP(B62,#REF!,5,FALSE),2),0)</f>
        <v>#REF!</v>
      </c>
      <c r="H62" s="29"/>
    </row>
    <row r="63" spans="2:11" ht="12" customHeight="1" x14ac:dyDescent="0.2">
      <c r="B63" s="1" t="s">
        <v>32</v>
      </c>
      <c r="E63" s="14"/>
      <c r="G63" s="30" t="e">
        <f>_xlfn.IFNA(ROUND(VLOOKUP(B63,#REF!,5,FALSE),2),0)</f>
        <v>#REF!</v>
      </c>
      <c r="H63" s="29"/>
      <c r="I63" s="35" t="e">
        <f>ROUND((SUM(G63:G66,G76)/1000),2)</f>
        <v>#REF!</v>
      </c>
      <c r="J63" s="36">
        <f>SUM('[3]2023 Budget Tables'!$F$52,'[3]2023 Budget Tables'!$F$57)</f>
        <v>10.39</v>
      </c>
      <c r="K63" s="37" t="e">
        <f>I63-J63</f>
        <v>#REF!</v>
      </c>
    </row>
    <row r="64" spans="2:11" ht="12" customHeight="1" x14ac:dyDescent="0.2">
      <c r="B64" s="1" t="s">
        <v>33</v>
      </c>
      <c r="E64" s="14"/>
      <c r="G64" s="30" t="e">
        <f>_xlfn.IFNA(ROUND(VLOOKUP(B64,#REF!,5,FALSE),2),0)</f>
        <v>#REF!</v>
      </c>
      <c r="H64" s="29"/>
    </row>
    <row r="65" spans="2:11" ht="12" customHeight="1" x14ac:dyDescent="0.2">
      <c r="B65" s="1" t="s">
        <v>38</v>
      </c>
      <c r="E65" s="14"/>
      <c r="G65" s="30" t="e">
        <f>_xlfn.IFNA(ROUND(VLOOKUP(B65,#REF!,5,FALSE),2),0)</f>
        <v>#REF!</v>
      </c>
      <c r="H65" s="29"/>
    </row>
    <row r="66" spans="2:11" ht="12" customHeight="1" x14ac:dyDescent="0.2">
      <c r="B66" s="1" t="s">
        <v>34</v>
      </c>
      <c r="E66" s="14"/>
      <c r="G66" s="30" t="e">
        <f>_xlfn.IFNA(ROUND(VLOOKUP(B66,#REF!,5,FALSE),2),0)</f>
        <v>#REF!</v>
      </c>
      <c r="H66" s="29"/>
      <c r="I66" s="35" t="e">
        <f>ROUND((SUM(G67:G71)/1000),2)</f>
        <v>#REF!</v>
      </c>
      <c r="J66" s="36">
        <f>SUM('[3]2023 Budget Tables'!$F$53,'[3]2023 Budget Tables'!$F$58)</f>
        <v>0.78</v>
      </c>
      <c r="K66" s="37" t="e">
        <f>I66-J66</f>
        <v>#REF!</v>
      </c>
    </row>
    <row r="67" spans="2:11" ht="12" customHeight="1" x14ac:dyDescent="0.2">
      <c r="B67" s="1" t="s">
        <v>35</v>
      </c>
      <c r="E67" s="14"/>
      <c r="G67" s="30" t="e">
        <f>_xlfn.IFNA(ROUND(VLOOKUP(B67,#REF!,5,FALSE),2),0)</f>
        <v>#REF!</v>
      </c>
      <c r="H67" s="29"/>
    </row>
    <row r="68" spans="2:11" ht="12" customHeight="1" x14ac:dyDescent="0.2">
      <c r="B68" s="1" t="s">
        <v>1</v>
      </c>
      <c r="E68" s="14"/>
      <c r="G68" s="30" t="e">
        <f>_xlfn.IFNA(ROUND(VLOOKUP(B68,#REF!,5,FALSE),2),0)</f>
        <v>#REF!</v>
      </c>
      <c r="H68" s="29"/>
    </row>
    <row r="69" spans="2:11" ht="12" customHeight="1" x14ac:dyDescent="0.2">
      <c r="B69" s="1" t="s">
        <v>37</v>
      </c>
      <c r="E69" s="14"/>
      <c r="G69" s="30" t="e">
        <f>_xlfn.IFNA(ROUND(VLOOKUP(B69,#REF!,5,FALSE),2),0)</f>
        <v>#REF!</v>
      </c>
      <c r="H69" s="29"/>
    </row>
    <row r="70" spans="2:11" ht="12" customHeight="1" x14ac:dyDescent="0.2">
      <c r="B70" s="1" t="s">
        <v>40</v>
      </c>
      <c r="E70" s="14"/>
      <c r="G70" s="30" t="e">
        <f>_xlfn.IFNA(ROUND(VLOOKUP(B70,#REF!,5,FALSE),2),0)</f>
        <v>#REF!</v>
      </c>
      <c r="H70" s="29"/>
    </row>
    <row r="71" spans="2:11" ht="12" customHeight="1" x14ac:dyDescent="0.2">
      <c r="B71" s="1" t="s">
        <v>36</v>
      </c>
      <c r="E71" s="14"/>
      <c r="G71" s="3" t="e">
        <f>_xlfn.IFNA(ROUND(VLOOKUP(B71,#REF!,5,FALSE),2),0)</f>
        <v>#REF!</v>
      </c>
      <c r="H71" s="29"/>
    </row>
    <row r="72" spans="2:11" ht="12" customHeight="1" x14ac:dyDescent="0.2">
      <c r="B72" s="1" t="s">
        <v>9</v>
      </c>
      <c r="E72" s="14"/>
      <c r="G72" s="41" t="e">
        <f>_xlfn.IFNA(ROUND(VLOOKUP("Allocation of Common Operating",#REF!,5,FALSE),2),0)</f>
        <v>#REF!</v>
      </c>
      <c r="H72" s="29"/>
      <c r="I72" s="35" t="e">
        <f>ROUND((SUM(G72,G77)/1000),2)</f>
        <v>#REF!</v>
      </c>
      <c r="J72" s="36">
        <f>'[3]2023 Budget Tables'!$F$61</f>
        <v>9.1300000000000008</v>
      </c>
      <c r="K72" s="37" t="e">
        <f>I72-J72</f>
        <v>#REF!</v>
      </c>
    </row>
    <row r="73" spans="2:11" ht="12" customHeight="1" x14ac:dyDescent="0.2">
      <c r="B73" s="12" t="s">
        <v>20</v>
      </c>
      <c r="G73" s="6" t="e">
        <f>SUM(G60:G72)</f>
        <v>#REF!</v>
      </c>
      <c r="H73" s="29"/>
    </row>
    <row r="74" spans="2:11" ht="12" customHeight="1" x14ac:dyDescent="0.2">
      <c r="G74" s="15"/>
      <c r="H74" s="29"/>
    </row>
    <row r="75" spans="2:11" ht="12" customHeight="1" x14ac:dyDescent="0.2">
      <c r="B75" s="9" t="str">
        <f>B21</f>
        <v>4th Quarter Capital Budget:</v>
      </c>
      <c r="C75" s="12"/>
      <c r="H75" s="29"/>
    </row>
    <row r="76" spans="2:11" ht="12" customHeight="1" x14ac:dyDescent="0.2">
      <c r="B76" s="1" t="s">
        <v>29</v>
      </c>
      <c r="G76" s="2" t="e">
        <f>_xlfn.IFNA(ROUND(VLOOKUP(B76,#REF!,5,FALSE),2),0)</f>
        <v>#REF!</v>
      </c>
      <c r="H76" s="29"/>
    </row>
    <row r="77" spans="2:11" ht="12" customHeight="1" x14ac:dyDescent="0.2">
      <c r="B77" s="1" t="s">
        <v>17</v>
      </c>
      <c r="C77" s="12"/>
      <c r="G77" s="4" t="e">
        <f>_xlfn.IFNA(ROUND(VLOOKUP("Allocation of Common Capital",#REF!,5,FALSE),2),0)</f>
        <v>#REF!</v>
      </c>
      <c r="H77" s="29"/>
    </row>
    <row r="78" spans="2:11" ht="12" customHeight="1" x14ac:dyDescent="0.2">
      <c r="B78" s="12" t="s">
        <v>24</v>
      </c>
      <c r="C78" s="12"/>
      <c r="G78" s="6" t="e">
        <f>SUM(G76:G77)</f>
        <v>#REF!</v>
      </c>
      <c r="H78" s="29"/>
    </row>
    <row r="79" spans="2:11" x14ac:dyDescent="0.2">
      <c r="C79" s="12"/>
      <c r="H79" s="29"/>
    </row>
    <row r="80" spans="2:11" x14ac:dyDescent="0.2">
      <c r="C80" s="12" t="s">
        <v>22</v>
      </c>
      <c r="G80" s="6" t="e">
        <f>SUM(G73,G78)</f>
        <v>#REF!</v>
      </c>
      <c r="H80" s="29"/>
      <c r="I80" s="35" t="e">
        <f>ROUND((SUM(G80)/1000),2)</f>
        <v>#REF!</v>
      </c>
      <c r="J80" s="36">
        <f>'[3]2023 Budget Tables'!$F$62</f>
        <v>24.08</v>
      </c>
      <c r="K80" s="37" t="e">
        <f>I80-J80</f>
        <v>#REF!</v>
      </c>
    </row>
    <row r="81" spans="2:11" x14ac:dyDescent="0.2">
      <c r="C81" s="12"/>
      <c r="H81" s="29"/>
    </row>
    <row r="82" spans="2:11" x14ac:dyDescent="0.2">
      <c r="C82" s="12"/>
      <c r="H82" s="29"/>
    </row>
    <row r="83" spans="2:11" ht="15.75" x14ac:dyDescent="0.25">
      <c r="B83" s="80" t="s">
        <v>8</v>
      </c>
      <c r="C83" s="80"/>
      <c r="D83" s="80"/>
      <c r="E83" s="80"/>
      <c r="F83" s="80"/>
      <c r="G83" s="80"/>
      <c r="H83" s="29"/>
    </row>
    <row r="84" spans="2:11" ht="12" customHeight="1" x14ac:dyDescent="0.2">
      <c r="B84" s="81" t="s">
        <v>0</v>
      </c>
      <c r="C84" s="81"/>
      <c r="D84" s="81"/>
      <c r="E84" s="81"/>
      <c r="F84" s="81"/>
      <c r="G84" s="81"/>
      <c r="H84" s="29"/>
    </row>
    <row r="85" spans="2:11" ht="12" customHeight="1" x14ac:dyDescent="0.25">
      <c r="E85" s="16"/>
      <c r="F85" s="17"/>
      <c r="H85" s="29"/>
    </row>
    <row r="86" spans="2:11" ht="12" customHeight="1" x14ac:dyDescent="0.2">
      <c r="B86" s="9" t="str">
        <f>B5</f>
        <v>4th Quarter Operating Budget:</v>
      </c>
      <c r="G86" s="8"/>
      <c r="H86" s="29"/>
    </row>
    <row r="87" spans="2:11" ht="12" customHeight="1" x14ac:dyDescent="0.2">
      <c r="B87" s="1" t="s">
        <v>5</v>
      </c>
      <c r="E87" s="18"/>
      <c r="G87" s="29" t="e">
        <f>_xlfn.IFNA(ROUND(VLOOKUP(B87,#REF!,5,FALSE),2),0)</f>
        <v>#REF!</v>
      </c>
      <c r="H87" s="29"/>
      <c r="I87" s="35" t="e">
        <f>ROUND((SUM(G87:G89)/1000),2)</f>
        <v>#REF!</v>
      </c>
      <c r="J87" s="36">
        <f>SUM('[3]2023 Budget Tables'!$F$66,'[3]2023 Budget Tables'!$F$71)</f>
        <v>2.0499999999999998</v>
      </c>
      <c r="K87" s="37" t="e">
        <f>I87-J87</f>
        <v>#REF!</v>
      </c>
    </row>
    <row r="88" spans="2:11" ht="12" customHeight="1" x14ac:dyDescent="0.2">
      <c r="B88" s="1" t="s">
        <v>30</v>
      </c>
      <c r="E88" s="14"/>
      <c r="G88" s="3" t="e">
        <f>_xlfn.IFNA(ROUND(VLOOKUP(B88,#REF!,5,FALSE),2),0)</f>
        <v>#REF!</v>
      </c>
      <c r="H88" s="29"/>
    </row>
    <row r="89" spans="2:11" ht="12" customHeight="1" x14ac:dyDescent="0.2">
      <c r="B89" s="1" t="s">
        <v>31</v>
      </c>
      <c r="E89" s="14"/>
      <c r="G89" s="3" t="e">
        <f>_xlfn.IFNA(ROUND(VLOOKUP(B89,#REF!,5,FALSE),2),0)</f>
        <v>#REF!</v>
      </c>
      <c r="H89" s="29"/>
    </row>
    <row r="90" spans="2:11" ht="12" customHeight="1" x14ac:dyDescent="0.2">
      <c r="B90" s="1" t="s">
        <v>32</v>
      </c>
      <c r="E90" s="14"/>
      <c r="G90" s="3" t="e">
        <f>_xlfn.IFNA(ROUND(VLOOKUP(B90,#REF!,5,FALSE),2),0)</f>
        <v>#REF!</v>
      </c>
      <c r="H90" s="29"/>
      <c r="I90" s="35" t="e">
        <f>ROUND((SUM(G90:G92,G102)/1000),2)</f>
        <v>#REF!</v>
      </c>
      <c r="J90" s="36">
        <f>SUM('[3]2023 Budget Tables'!$F$67,'[3]2023 Budget Tables'!$F$72)</f>
        <v>2.21</v>
      </c>
      <c r="K90" s="37" t="e">
        <f>I90-J90</f>
        <v>#REF!</v>
      </c>
    </row>
    <row r="91" spans="2:11" ht="12" customHeight="1" x14ac:dyDescent="0.2">
      <c r="B91" s="1" t="s">
        <v>33</v>
      </c>
      <c r="E91" s="14"/>
      <c r="G91" s="3" t="e">
        <f>_xlfn.IFNA(ROUND(VLOOKUP(B91,#REF!,5,FALSE),2),0)</f>
        <v>#REF!</v>
      </c>
      <c r="H91" s="29"/>
    </row>
    <row r="92" spans="2:11" ht="12" customHeight="1" x14ac:dyDescent="0.2">
      <c r="B92" s="1" t="s">
        <v>34</v>
      </c>
      <c r="E92" s="14"/>
      <c r="G92" s="3" t="e">
        <f>_xlfn.IFNA(ROUND(VLOOKUP(B92,#REF!,5,FALSE),2),0)</f>
        <v>#REF!</v>
      </c>
      <c r="H92" s="29"/>
    </row>
    <row r="93" spans="2:11" ht="12" customHeight="1" x14ac:dyDescent="0.2">
      <c r="B93" s="1" t="s">
        <v>35</v>
      </c>
      <c r="E93" s="14"/>
      <c r="G93" s="3" t="e">
        <f>_xlfn.IFNA(ROUND(VLOOKUP(B93,#REF!,5,FALSE),2),0)</f>
        <v>#REF!</v>
      </c>
      <c r="H93" s="29"/>
      <c r="I93" s="35" t="e">
        <f>ROUND((SUM(G93:G97)/1000),2)</f>
        <v>#REF!</v>
      </c>
      <c r="J93" s="36">
        <f>SUM('[3]2023 Budget Tables'!$F$68,'[3]2023 Budget Tables'!$F$73)</f>
        <v>0.29000000000000004</v>
      </c>
      <c r="K93" s="37" t="e">
        <f>I93-J93</f>
        <v>#REF!</v>
      </c>
    </row>
    <row r="94" spans="2:11" ht="12" customHeight="1" x14ac:dyDescent="0.2">
      <c r="B94" s="1" t="s">
        <v>1</v>
      </c>
      <c r="E94" s="14"/>
      <c r="G94" s="3" t="e">
        <f>_xlfn.IFNA(ROUND(VLOOKUP(B94,#REF!,5,FALSE),2),0)</f>
        <v>#REF!</v>
      </c>
      <c r="H94" s="29"/>
    </row>
    <row r="95" spans="2:11" ht="12" customHeight="1" x14ac:dyDescent="0.2">
      <c r="B95" s="1" t="s">
        <v>37</v>
      </c>
      <c r="E95" s="14"/>
      <c r="G95" s="3" t="e">
        <f>_xlfn.IFNA(ROUND(VLOOKUP(B95,#REF!,5,FALSE),2),0)</f>
        <v>#REF!</v>
      </c>
      <c r="H95" s="29"/>
    </row>
    <row r="96" spans="2:11" ht="12" customHeight="1" x14ac:dyDescent="0.2">
      <c r="B96" s="1" t="s">
        <v>40</v>
      </c>
      <c r="E96" s="14"/>
      <c r="G96" s="3" t="e">
        <f>_xlfn.IFNA(ROUND(VLOOKUP(B96,#REF!,5,FALSE),2),0)</f>
        <v>#REF!</v>
      </c>
      <c r="H96" s="29"/>
    </row>
    <row r="97" spans="2:11" ht="12" customHeight="1" x14ac:dyDescent="0.2">
      <c r="B97" s="1" t="s">
        <v>36</v>
      </c>
      <c r="E97" s="14"/>
      <c r="G97" s="3" t="e">
        <f>_xlfn.IFNA(ROUND(VLOOKUP(B97,#REF!,5,FALSE),2),0)</f>
        <v>#REF!</v>
      </c>
      <c r="H97" s="29"/>
    </row>
    <row r="98" spans="2:11" ht="12" customHeight="1" x14ac:dyDescent="0.2">
      <c r="B98" s="1" t="s">
        <v>9</v>
      </c>
      <c r="E98" s="14"/>
      <c r="G98" s="41" t="e">
        <f>_xlfn.IFNA(ROUND(VLOOKUP("Allocation of Common Operating",#REF!,5,FALSE),2),0)</f>
        <v>#REF!</v>
      </c>
      <c r="H98" s="29"/>
      <c r="I98" s="35" t="e">
        <f>ROUND((SUM(G98,G103)/1000),2)</f>
        <v>#REF!</v>
      </c>
      <c r="J98" s="36">
        <f>'[3]2023 Budget Tables'!$F$76</f>
        <v>2.2300000000000004</v>
      </c>
      <c r="K98" s="37" t="e">
        <f>I98-J98</f>
        <v>#REF!</v>
      </c>
    </row>
    <row r="99" spans="2:11" ht="12" customHeight="1" x14ac:dyDescent="0.2">
      <c r="B99" s="12" t="s">
        <v>21</v>
      </c>
      <c r="G99" s="6" t="e">
        <f>SUM(G87:G98)</f>
        <v>#REF!</v>
      </c>
      <c r="H99" s="29"/>
    </row>
    <row r="100" spans="2:11" ht="12" customHeight="1" x14ac:dyDescent="0.2">
      <c r="B100" s="12"/>
      <c r="G100" s="15"/>
      <c r="H100" s="29"/>
    </row>
    <row r="101" spans="2:11" ht="12" customHeight="1" x14ac:dyDescent="0.2">
      <c r="B101" s="9" t="str">
        <f>B21</f>
        <v>4th Quarter Capital Budget:</v>
      </c>
      <c r="C101" s="12"/>
      <c r="H101" s="29"/>
    </row>
    <row r="102" spans="2:11" ht="12" customHeight="1" x14ac:dyDescent="0.2">
      <c r="B102" s="1" t="s">
        <v>29</v>
      </c>
      <c r="G102" s="2" t="e">
        <f>_xlfn.IFNA(ROUND(VLOOKUP(B102,#REF!,5,FALSE),2),0)</f>
        <v>#REF!</v>
      </c>
      <c r="H102" s="29"/>
    </row>
    <row r="103" spans="2:11" ht="12" customHeight="1" x14ac:dyDescent="0.2">
      <c r="B103" s="1" t="s">
        <v>17</v>
      </c>
      <c r="C103" s="12"/>
      <c r="G103" s="4" t="e">
        <f>_xlfn.IFNA(ROUND(VLOOKUP("Allocation of Common Capital",#REF!,5,FALSE),2),0)</f>
        <v>#REF!</v>
      </c>
      <c r="H103" s="29"/>
    </row>
    <row r="104" spans="2:11" ht="12" customHeight="1" x14ac:dyDescent="0.2">
      <c r="B104" s="12" t="s">
        <v>23</v>
      </c>
      <c r="C104" s="12"/>
      <c r="G104" s="6" t="e">
        <f>SUM(G102:G103)</f>
        <v>#REF!</v>
      </c>
      <c r="H104" s="29"/>
    </row>
    <row r="105" spans="2:11" ht="12" customHeight="1" x14ac:dyDescent="0.2">
      <c r="C105" s="12"/>
      <c r="H105" s="29"/>
    </row>
    <row r="106" spans="2:11" ht="12" customHeight="1" x14ac:dyDescent="0.2">
      <c r="C106" s="12" t="s">
        <v>25</v>
      </c>
      <c r="G106" s="6" t="e">
        <f>SUM(G99,G104)</f>
        <v>#REF!</v>
      </c>
      <c r="H106" s="29"/>
      <c r="I106" s="35" t="e">
        <f>ROUND((SUM(G106)/1000),2)</f>
        <v>#REF!</v>
      </c>
      <c r="J106" s="36">
        <f>'[3]2023 Budget Tables'!$F$77</f>
        <v>6.7800000000000011</v>
      </c>
      <c r="K106" s="37" t="e">
        <f>I106-J106</f>
        <v>#REF!</v>
      </c>
    </row>
    <row r="107" spans="2:11" ht="12" customHeight="1" x14ac:dyDescent="0.25">
      <c r="G107" s="19"/>
      <c r="H107" s="29"/>
    </row>
    <row r="108" spans="2:11" ht="15" customHeight="1" x14ac:dyDescent="0.25">
      <c r="G108" s="19"/>
      <c r="H108" s="29"/>
    </row>
    <row r="109" spans="2:11" ht="15.75" x14ac:dyDescent="0.25">
      <c r="B109" s="80" t="s">
        <v>6</v>
      </c>
      <c r="C109" s="80"/>
      <c r="D109" s="80"/>
      <c r="E109" s="80"/>
      <c r="F109" s="80"/>
      <c r="G109" s="80"/>
      <c r="H109" s="29"/>
    </row>
    <row r="110" spans="2:11" ht="12" customHeight="1" x14ac:dyDescent="0.2">
      <c r="B110" s="81" t="s">
        <v>0</v>
      </c>
      <c r="C110" s="81"/>
      <c r="D110" s="81"/>
      <c r="E110" s="81"/>
      <c r="F110" s="81"/>
      <c r="G110" s="81"/>
      <c r="H110" s="29"/>
    </row>
    <row r="111" spans="2:11" ht="12" customHeight="1" x14ac:dyDescent="0.2">
      <c r="H111" s="29"/>
    </row>
    <row r="112" spans="2:11" ht="12" customHeight="1" x14ac:dyDescent="0.2">
      <c r="B112" s="9" t="str">
        <f>B5</f>
        <v>4th Quarter Operating Budget:</v>
      </c>
      <c r="E112" s="20"/>
      <c r="F112" s="10"/>
      <c r="G112" s="8"/>
      <c r="H112" s="29"/>
    </row>
    <row r="113" spans="2:11" ht="12" customHeight="1" x14ac:dyDescent="0.2">
      <c r="B113" s="1" t="s">
        <v>5</v>
      </c>
      <c r="E113" s="14"/>
      <c r="F113" s="14"/>
      <c r="G113" s="2" t="e">
        <f>_xlfn.IFNA(ROUND(VLOOKUP(B113,#REF!,5,FALSE),2),0)</f>
        <v>#REF!</v>
      </c>
      <c r="H113" s="29"/>
      <c r="I113" s="35" t="e">
        <f>ROUND((SUM(G113:G115)/1000),2)</f>
        <v>#REF!</v>
      </c>
      <c r="J113" s="36">
        <f>SUM('[3]2023 Budget Tables'!$F$21,'[3]2023 Budget Tables'!$F$26)</f>
        <v>2.81</v>
      </c>
      <c r="K113" s="37" t="e">
        <f>I113-J113</f>
        <v>#REF!</v>
      </c>
    </row>
    <row r="114" spans="2:11" ht="12" customHeight="1" x14ac:dyDescent="0.2">
      <c r="B114" s="1" t="s">
        <v>30</v>
      </c>
      <c r="E114" s="14"/>
      <c r="F114" s="14"/>
      <c r="G114" s="3" t="e">
        <f>_xlfn.IFNA(ROUND(VLOOKUP(B114,#REF!,5,FALSE),2),0)</f>
        <v>#REF!</v>
      </c>
      <c r="H114" s="29"/>
    </row>
    <row r="115" spans="2:11" ht="12" customHeight="1" x14ac:dyDescent="0.2">
      <c r="B115" s="1" t="s">
        <v>31</v>
      </c>
      <c r="E115" s="14"/>
      <c r="F115" s="14"/>
      <c r="G115" s="3" t="e">
        <f>_xlfn.IFNA(ROUND(VLOOKUP(B115,#REF!,5,FALSE),2),0)</f>
        <v>#REF!</v>
      </c>
      <c r="H115" s="29"/>
    </row>
    <row r="116" spans="2:11" ht="12" customHeight="1" x14ac:dyDescent="0.2">
      <c r="B116" s="1" t="s">
        <v>39</v>
      </c>
      <c r="E116" s="14"/>
      <c r="F116" s="14"/>
      <c r="G116" s="3" t="e">
        <f>_xlfn.IFNA(ROUND(VLOOKUP(B116,#REF!,5,FALSE),2),0)</f>
        <v>#REF!</v>
      </c>
      <c r="H116" s="29"/>
      <c r="I116" s="35" t="e">
        <f>ROUND((SUM(G116:G119,G129)/1000),2)</f>
        <v>#REF!</v>
      </c>
      <c r="J116" s="36">
        <f>SUM('[3]2023 Budget Tables'!$F$22,'[3]2023 Budget Tables'!$F$27)</f>
        <v>5.7799999999999994</v>
      </c>
      <c r="K116" s="37" t="e">
        <f>I116-J116</f>
        <v>#REF!</v>
      </c>
    </row>
    <row r="117" spans="2:11" ht="12" customHeight="1" x14ac:dyDescent="0.2">
      <c r="B117" s="1" t="s">
        <v>32</v>
      </c>
      <c r="E117" s="14"/>
      <c r="F117" s="14"/>
      <c r="G117" s="3" t="e">
        <f>_xlfn.IFNA(ROUND(VLOOKUP(B117,#REF!,5,FALSE),2),0)</f>
        <v>#REF!</v>
      </c>
      <c r="H117" s="29"/>
    </row>
    <row r="118" spans="2:11" ht="12" customHeight="1" x14ac:dyDescent="0.2">
      <c r="B118" s="1" t="s">
        <v>33</v>
      </c>
      <c r="E118" s="14"/>
      <c r="F118" s="14"/>
      <c r="G118" s="3" t="e">
        <f>_xlfn.IFNA(ROUND(VLOOKUP(B118,#REF!,5,FALSE),2),0)</f>
        <v>#REF!</v>
      </c>
      <c r="H118" s="29"/>
    </row>
    <row r="119" spans="2:11" ht="12" customHeight="1" x14ac:dyDescent="0.2">
      <c r="B119" s="1" t="s">
        <v>34</v>
      </c>
      <c r="E119" s="14"/>
      <c r="F119" s="14"/>
      <c r="G119" s="3" t="e">
        <f>_xlfn.IFNA(ROUND(VLOOKUP(B119,#REF!,5,FALSE),2),0)</f>
        <v>#REF!</v>
      </c>
      <c r="H119" s="29"/>
      <c r="I119" s="35" t="e">
        <f>ROUND((SUM(G120:G124)/1000),2)</f>
        <v>#REF!</v>
      </c>
      <c r="J119" s="36">
        <f>SUM('[3]2023 Budget Tables'!$F$23,'[3]2023 Budget Tables'!$F$28)</f>
        <v>0.68</v>
      </c>
      <c r="K119" s="37" t="e">
        <f>I119-J119</f>
        <v>#REF!</v>
      </c>
    </row>
    <row r="120" spans="2:11" ht="12" customHeight="1" x14ac:dyDescent="0.2">
      <c r="B120" s="1" t="s">
        <v>35</v>
      </c>
      <c r="E120" s="14"/>
      <c r="F120" s="14"/>
      <c r="G120" s="3" t="e">
        <f>_xlfn.IFNA(ROUND(VLOOKUP(B120,#REF!,5,FALSE),2),0)</f>
        <v>#REF!</v>
      </c>
      <c r="H120" s="29"/>
    </row>
    <row r="121" spans="2:11" ht="12" customHeight="1" x14ac:dyDescent="0.2">
      <c r="B121" s="1" t="s">
        <v>1</v>
      </c>
      <c r="E121" s="14"/>
      <c r="F121" s="14"/>
      <c r="G121" s="3" t="e">
        <f>_xlfn.IFNA(ROUND(VLOOKUP(B121,#REF!,5,FALSE),2),0)</f>
        <v>#REF!</v>
      </c>
      <c r="H121" s="29"/>
    </row>
    <row r="122" spans="2:11" ht="12" customHeight="1" x14ac:dyDescent="0.2">
      <c r="B122" s="1" t="s">
        <v>37</v>
      </c>
      <c r="E122" s="14"/>
      <c r="F122" s="14"/>
      <c r="G122" s="3" t="e">
        <f>_xlfn.IFNA(ROUND(VLOOKUP(B122,#REF!,5,FALSE),2),0)</f>
        <v>#REF!</v>
      </c>
      <c r="H122" s="29"/>
    </row>
    <row r="123" spans="2:11" ht="12" customHeight="1" x14ac:dyDescent="0.2">
      <c r="B123" s="1" t="s">
        <v>40</v>
      </c>
      <c r="E123" s="14"/>
      <c r="F123" s="14"/>
      <c r="G123" s="3" t="e">
        <f>_xlfn.IFNA(ROUND(VLOOKUP(B123,#REF!,5,FALSE),2),0)</f>
        <v>#REF!</v>
      </c>
      <c r="H123" s="29"/>
    </row>
    <row r="124" spans="2:11" ht="12" customHeight="1" x14ac:dyDescent="0.2">
      <c r="B124" s="1" t="s">
        <v>36</v>
      </c>
      <c r="E124" s="14"/>
      <c r="G124" s="3" t="e">
        <f>_xlfn.IFNA(ROUND(VLOOKUP(B124,#REF!,5,FALSE),2),0)</f>
        <v>#REF!</v>
      </c>
      <c r="H124" s="29"/>
    </row>
    <row r="125" spans="2:11" ht="12" customHeight="1" x14ac:dyDescent="0.2">
      <c r="B125" s="1" t="s">
        <v>9</v>
      </c>
      <c r="E125" s="14"/>
      <c r="F125" s="14"/>
      <c r="G125" s="4" t="e">
        <f>_xlfn.IFNA(ROUND(VLOOKUP("Allocation of Common Operating",#REF!,5,FALSE),2),0)</f>
        <v>#REF!</v>
      </c>
      <c r="H125" s="29"/>
      <c r="I125" s="35" t="e">
        <f>ROUND((SUM(G125,G130)/1000),2)</f>
        <v>#REF!</v>
      </c>
      <c r="J125" s="36">
        <f>'[3]2023 Budget Tables'!$F$31</f>
        <v>10.15</v>
      </c>
      <c r="K125" s="37" t="e">
        <f>I125-J125</f>
        <v>#REF!</v>
      </c>
    </row>
    <row r="126" spans="2:11" x14ac:dyDescent="0.2">
      <c r="B126" s="12" t="s">
        <v>26</v>
      </c>
      <c r="C126" s="12"/>
      <c r="E126" s="14"/>
      <c r="F126" s="20"/>
      <c r="G126" s="6" t="e">
        <f>SUM(G113:G125)</f>
        <v>#REF!</v>
      </c>
      <c r="H126" s="29"/>
    </row>
    <row r="127" spans="2:11" ht="12" customHeight="1" x14ac:dyDescent="0.2">
      <c r="F127" s="14"/>
      <c r="H127" s="29"/>
    </row>
    <row r="128" spans="2:11" ht="12" customHeight="1" x14ac:dyDescent="0.2">
      <c r="B128" s="9" t="str">
        <f>B21</f>
        <v>4th Quarter Capital Budget:</v>
      </c>
      <c r="C128" s="12"/>
      <c r="H128" s="29"/>
    </row>
    <row r="129" spans="2:11" ht="12" customHeight="1" x14ac:dyDescent="0.2">
      <c r="B129" s="1" t="s">
        <v>29</v>
      </c>
      <c r="G129" s="2" t="e">
        <f>_xlfn.IFNA(ROUND(VLOOKUP(B129,#REF!,5,FALSE),2),0)</f>
        <v>#REF!</v>
      </c>
      <c r="H129" s="29"/>
    </row>
    <row r="130" spans="2:11" ht="12" customHeight="1" x14ac:dyDescent="0.2">
      <c r="B130" s="1" t="s">
        <v>17</v>
      </c>
      <c r="C130" s="12"/>
      <c r="G130" s="4" t="e">
        <f>_xlfn.IFNA(ROUND(VLOOKUP("Allocation of Common Capital",#REF!,5,FALSE),2),0)</f>
        <v>#REF!</v>
      </c>
      <c r="H130" s="29"/>
    </row>
    <row r="131" spans="2:11" ht="12" customHeight="1" x14ac:dyDescent="0.2">
      <c r="B131" s="12" t="s">
        <v>27</v>
      </c>
      <c r="C131" s="12"/>
      <c r="G131" s="6" t="e">
        <f>SUM(G129:G130)</f>
        <v>#REF!</v>
      </c>
      <c r="H131" s="29"/>
    </row>
    <row r="132" spans="2:11" ht="12" customHeight="1" x14ac:dyDescent="0.2">
      <c r="C132" s="12"/>
      <c r="H132" s="29"/>
    </row>
    <row r="133" spans="2:11" x14ac:dyDescent="0.2">
      <c r="C133" s="12" t="s">
        <v>28</v>
      </c>
      <c r="G133" s="6" t="e">
        <f>SUM(G126,G131)</f>
        <v>#REF!</v>
      </c>
      <c r="H133" s="29"/>
      <c r="I133" s="35" t="e">
        <f>ROUND((SUM(G133)/1000),2)</f>
        <v>#REF!</v>
      </c>
      <c r="J133" s="36">
        <f>'[3]2023 Budget Tables'!$F$32</f>
        <v>19.420000000000002</v>
      </c>
      <c r="K133" s="37" t="e">
        <f>I133-J133</f>
        <v>#REF!</v>
      </c>
    </row>
    <row r="134" spans="2:11" x14ac:dyDescent="0.2">
      <c r="C134" s="12"/>
      <c r="G134" s="6"/>
      <c r="H134" s="31"/>
    </row>
    <row r="135" spans="2:11" x14ac:dyDescent="0.2">
      <c r="B135" s="12"/>
      <c r="F135" s="20"/>
      <c r="G135" s="21"/>
      <c r="H135" s="32"/>
    </row>
    <row r="136" spans="2:11" ht="15.75" x14ac:dyDescent="0.25">
      <c r="B136" s="80" t="s">
        <v>67</v>
      </c>
      <c r="C136" s="80"/>
      <c r="D136" s="80"/>
      <c r="E136" s="80"/>
      <c r="F136" s="80"/>
      <c r="G136" s="80"/>
      <c r="H136" s="32"/>
    </row>
    <row r="137" spans="2:11" x14ac:dyDescent="0.2">
      <c r="B137" s="81" t="s">
        <v>0</v>
      </c>
      <c r="C137" s="81"/>
      <c r="D137" s="81"/>
      <c r="E137" s="81"/>
      <c r="F137" s="81"/>
      <c r="G137" s="81"/>
      <c r="H137" s="32"/>
    </row>
    <row r="138" spans="2:11" ht="15.75" x14ac:dyDescent="0.25">
      <c r="E138" s="16"/>
      <c r="F138" s="17"/>
      <c r="H138" s="32"/>
    </row>
    <row r="139" spans="2:11" x14ac:dyDescent="0.2">
      <c r="B139" s="9" t="str">
        <f>B5</f>
        <v>4th Quarter Operating Budget:</v>
      </c>
      <c r="G139" s="8"/>
      <c r="H139" s="32"/>
    </row>
    <row r="140" spans="2:11" x14ac:dyDescent="0.2">
      <c r="B140" s="1" t="s">
        <v>5</v>
      </c>
      <c r="E140" s="18"/>
      <c r="G140" s="2">
        <f>_xlfn.IFNA(ROUND(VLOOKUP(B140,'CCP PowerPlan Report'!A:F,5,FALSE),2),0)</f>
        <v>0</v>
      </c>
      <c r="H140" s="32"/>
      <c r="I140" s="35">
        <f>ROUND((SUM(G140:G142)/1000),2)</f>
        <v>0</v>
      </c>
      <c r="J140" s="36">
        <f>SUM('[3]2023 Budget Tables'!$F$81,'[3]2023 Budget Tables'!$F$86)</f>
        <v>0</v>
      </c>
      <c r="K140" s="37">
        <f>I140-J140</f>
        <v>0</v>
      </c>
    </row>
    <row r="141" spans="2:11" x14ac:dyDescent="0.2">
      <c r="B141" s="1" t="s">
        <v>30</v>
      </c>
      <c r="E141" s="14"/>
      <c r="G141" s="3">
        <f>_xlfn.IFNA(ROUND(VLOOKUP(B141,'CCP PowerPlan Report'!A:F,5,FALSE),2),0)</f>
        <v>0</v>
      </c>
      <c r="H141" s="32"/>
    </row>
    <row r="142" spans="2:11" x14ac:dyDescent="0.2">
      <c r="B142" s="1" t="s">
        <v>31</v>
      </c>
      <c r="E142" s="14"/>
      <c r="G142" s="3">
        <f>_xlfn.IFNA(ROUND(VLOOKUP(B142,'CCP PowerPlan Report'!A:F,5,FALSE),2),0)</f>
        <v>0</v>
      </c>
      <c r="H142" s="32"/>
    </row>
    <row r="143" spans="2:11" x14ac:dyDescent="0.2">
      <c r="B143" s="1" t="s">
        <v>32</v>
      </c>
      <c r="E143" s="14"/>
      <c r="G143" s="3">
        <f>_xlfn.IFNA(ROUND(VLOOKUP(B143,'CCP PowerPlan Report'!A:F,5,FALSE),2),0)</f>
        <v>0</v>
      </c>
      <c r="H143" s="32"/>
      <c r="I143" s="35">
        <f>ROUND((SUM(G143:G145,G155)/1000),2)</f>
        <v>0</v>
      </c>
      <c r="J143" s="36">
        <f>SUM('[3]2023 Budget Tables'!$F$82,'[3]2023 Budget Tables'!$F$87)</f>
        <v>0</v>
      </c>
      <c r="K143" s="37">
        <f>I143-J143</f>
        <v>0</v>
      </c>
    </row>
    <row r="144" spans="2:11" x14ac:dyDescent="0.2">
      <c r="B144" s="1" t="s">
        <v>33</v>
      </c>
      <c r="E144" s="14"/>
      <c r="G144" s="3">
        <f>_xlfn.IFNA(ROUND(VLOOKUP(B144,'CCP PowerPlan Report'!A:F,5,FALSE),2),0)</f>
        <v>0</v>
      </c>
      <c r="H144" s="32"/>
    </row>
    <row r="145" spans="2:11" x14ac:dyDescent="0.2">
      <c r="B145" s="1" t="s">
        <v>34</v>
      </c>
      <c r="E145" s="14"/>
      <c r="G145" s="3">
        <f>_xlfn.IFNA(ROUND(VLOOKUP(B145,'CCP PowerPlan Report'!A:F,5,FALSE),2),0)</f>
        <v>0</v>
      </c>
      <c r="H145" s="32"/>
    </row>
    <row r="146" spans="2:11" x14ac:dyDescent="0.2">
      <c r="B146" s="1" t="s">
        <v>35</v>
      </c>
      <c r="E146" s="14"/>
      <c r="G146" s="3">
        <f>_xlfn.IFNA(ROUND(VLOOKUP(B146,'CCP PowerPlan Report'!A:F,5,FALSE),2),0)</f>
        <v>0</v>
      </c>
      <c r="H146" s="32"/>
      <c r="I146" s="35">
        <f>ROUND((SUM(G146:G150)/1000),2)</f>
        <v>0</v>
      </c>
      <c r="J146" s="36">
        <f>SUM('[3]2023 Budget Tables'!$F$83,'[3]2023 Budget Tables'!$F$88)</f>
        <v>0</v>
      </c>
      <c r="K146" s="37">
        <f>I146-J146</f>
        <v>0</v>
      </c>
    </row>
    <row r="147" spans="2:11" x14ac:dyDescent="0.2">
      <c r="B147" s="1" t="s">
        <v>1</v>
      </c>
      <c r="E147" s="14"/>
      <c r="G147" s="3">
        <f>_xlfn.IFNA(ROUND(VLOOKUP(B147,'CCP PowerPlan Report'!A:F,5,FALSE),2),0)</f>
        <v>0</v>
      </c>
      <c r="H147" s="32"/>
    </row>
    <row r="148" spans="2:11" x14ac:dyDescent="0.2">
      <c r="B148" s="1" t="s">
        <v>37</v>
      </c>
      <c r="E148" s="14"/>
      <c r="G148" s="3">
        <f>_xlfn.IFNA(ROUND(VLOOKUP(B148,'CCP PowerPlan Report'!A:F,5,FALSE),2),0)</f>
        <v>0</v>
      </c>
      <c r="H148" s="32"/>
    </row>
    <row r="149" spans="2:11" x14ac:dyDescent="0.2">
      <c r="B149" s="1" t="s">
        <v>40</v>
      </c>
      <c r="E149" s="14"/>
      <c r="G149" s="3">
        <f>_xlfn.IFNA(ROUND(VLOOKUP(B149,'CCP PowerPlan Report'!A:F,5,FALSE),2),0)</f>
        <v>0</v>
      </c>
      <c r="H149" s="32"/>
    </row>
    <row r="150" spans="2:11" x14ac:dyDescent="0.2">
      <c r="B150" s="1" t="s">
        <v>36</v>
      </c>
      <c r="E150" s="14"/>
      <c r="G150" s="3">
        <f>_xlfn.IFNA(ROUND(VLOOKUP(B150,'CCP PowerPlan Report'!A:F,5,FALSE),2),0)</f>
        <v>0</v>
      </c>
      <c r="H150" s="32"/>
    </row>
    <row r="151" spans="2:11" x14ac:dyDescent="0.2">
      <c r="B151" s="1" t="s">
        <v>9</v>
      </c>
      <c r="E151" s="14"/>
      <c r="G151" s="4">
        <f>_xlfn.IFNA(ROUND(VLOOKUP("Allocation of Common Operating",'CCP PowerPlan Report'!A:F,5,FALSE),2),0)</f>
        <v>0</v>
      </c>
      <c r="H151" s="32"/>
      <c r="I151" s="35">
        <f>ROUND((SUM(G151,G156)/1000),2)</f>
        <v>0</v>
      </c>
      <c r="J151" s="36">
        <f>'[3]2023 Budget Tables'!$F$91</f>
        <v>0.08</v>
      </c>
      <c r="K151" s="37">
        <f>I151-J151</f>
        <v>-0.08</v>
      </c>
    </row>
    <row r="152" spans="2:11" x14ac:dyDescent="0.2">
      <c r="B152" s="12" t="s">
        <v>69</v>
      </c>
      <c r="G152" s="6">
        <f>SUM(G140:G151)</f>
        <v>0</v>
      </c>
      <c r="H152" s="32"/>
    </row>
    <row r="153" spans="2:11" x14ac:dyDescent="0.2">
      <c r="B153" s="12"/>
      <c r="G153" s="15"/>
      <c r="H153" s="32"/>
    </row>
    <row r="154" spans="2:11" x14ac:dyDescent="0.2">
      <c r="B154" s="9" t="str">
        <f>B21</f>
        <v>4th Quarter Capital Budget:</v>
      </c>
      <c r="C154" s="12"/>
      <c r="H154" s="32"/>
    </row>
    <row r="155" spans="2:11" x14ac:dyDescent="0.2">
      <c r="B155" s="1" t="s">
        <v>29</v>
      </c>
      <c r="G155" s="2">
        <f>_xlfn.IFNA(ROUND(VLOOKUP(B155,'CCP PowerPlan Report'!A:F,5,FALSE),2),0)</f>
        <v>0</v>
      </c>
      <c r="H155" s="32"/>
    </row>
    <row r="156" spans="2:11" x14ac:dyDescent="0.2">
      <c r="B156" s="1" t="s">
        <v>17</v>
      </c>
      <c r="C156" s="12"/>
      <c r="G156" s="4">
        <f>_xlfn.IFNA(ROUND(VLOOKUP("Allocation of Common Capital",'CCP PowerPlan Report'!A:F,5,FALSE),2),0)</f>
        <v>0</v>
      </c>
      <c r="H156" s="32"/>
    </row>
    <row r="157" spans="2:11" x14ac:dyDescent="0.2">
      <c r="B157" s="12" t="s">
        <v>70</v>
      </c>
      <c r="C157" s="12"/>
      <c r="G157" s="6">
        <f>SUM(G156:G156)</f>
        <v>0</v>
      </c>
      <c r="H157" s="32"/>
    </row>
    <row r="158" spans="2:11" x14ac:dyDescent="0.2">
      <c r="C158" s="12"/>
      <c r="H158" s="32"/>
    </row>
    <row r="159" spans="2:11" x14ac:dyDescent="0.2">
      <c r="C159" s="12" t="s">
        <v>68</v>
      </c>
      <c r="G159" s="6">
        <f>SUM(G152,G157)</f>
        <v>0</v>
      </c>
      <c r="H159" s="32"/>
      <c r="I159" s="35">
        <f>ROUND((SUM(G159)/1000),2)</f>
        <v>0</v>
      </c>
      <c r="J159" s="36">
        <f>'[3]2023 Budget Tables'!$F$92</f>
        <v>0.08</v>
      </c>
      <c r="K159" s="37">
        <f>I159-J159</f>
        <v>-0.08</v>
      </c>
    </row>
    <row r="160" spans="2:11" x14ac:dyDescent="0.2">
      <c r="B160" s="12"/>
      <c r="F160" s="20"/>
      <c r="G160" s="21"/>
      <c r="H160" s="32"/>
    </row>
    <row r="161" spans="1:11" s="24" customFormat="1" x14ac:dyDescent="0.2">
      <c r="A161" s="22"/>
      <c r="B161" s="22"/>
      <c r="C161" s="22"/>
      <c r="D161" s="22"/>
      <c r="E161" s="52" t="s">
        <v>65</v>
      </c>
      <c r="F161" s="22"/>
      <c r="G161" s="23" t="e">
        <f>G18-G45-G72-G98-G125-G151</f>
        <v>#REF!</v>
      </c>
      <c r="H161" s="33"/>
      <c r="I161" s="38"/>
      <c r="J161" s="39"/>
      <c r="K161" s="40"/>
    </row>
    <row r="162" spans="1:11" s="24" customFormat="1" x14ac:dyDescent="0.2">
      <c r="A162" s="22"/>
      <c r="B162" s="22"/>
      <c r="C162" s="22"/>
      <c r="D162" s="22"/>
      <c r="E162" s="52" t="s">
        <v>66</v>
      </c>
      <c r="F162" s="22"/>
      <c r="G162" s="23" t="e">
        <f>G22-G50-G77-G103-G130-G156</f>
        <v>#REF!</v>
      </c>
      <c r="H162" s="33"/>
      <c r="I162" s="38"/>
      <c r="J162" s="39"/>
      <c r="K162" s="37"/>
    </row>
    <row r="163" spans="1:11" s="24" customFormat="1" x14ac:dyDescent="0.2">
      <c r="A163" s="22"/>
      <c r="B163" s="22"/>
      <c r="C163" s="22"/>
      <c r="D163" s="22"/>
      <c r="E163" s="22"/>
      <c r="F163" s="22"/>
      <c r="G163" s="23"/>
      <c r="H163" s="33"/>
      <c r="I163" s="38"/>
      <c r="J163" s="39"/>
      <c r="K163" s="40"/>
    </row>
    <row r="164" spans="1:11" s="24" customFormat="1" x14ac:dyDescent="0.2">
      <c r="A164" s="22"/>
      <c r="B164" s="22"/>
      <c r="C164" s="22"/>
      <c r="D164" s="22"/>
      <c r="E164" s="22"/>
      <c r="F164" s="22"/>
      <c r="G164" s="25"/>
      <c r="H164" s="34"/>
      <c r="I164" s="38"/>
      <c r="J164" s="39"/>
      <c r="K164" s="40"/>
    </row>
    <row r="165" spans="1:11" x14ac:dyDescent="0.2">
      <c r="I165" s="38"/>
      <c r="J165" s="39"/>
    </row>
  </sheetData>
  <mergeCells count="13">
    <mergeCell ref="B136:G136"/>
    <mergeCell ref="B137:G137"/>
    <mergeCell ref="B56:G56"/>
    <mergeCell ref="B2:G2"/>
    <mergeCell ref="B3:G3"/>
    <mergeCell ref="B84:G84"/>
    <mergeCell ref="B109:G109"/>
    <mergeCell ref="B110:G110"/>
    <mergeCell ref="I4:K4"/>
    <mergeCell ref="B30:G30"/>
    <mergeCell ref="B31:G31"/>
    <mergeCell ref="B57:G57"/>
    <mergeCell ref="B83:G83"/>
  </mergeCells>
  <conditionalFormatting sqref="K1:K3 K6:K43 K45:K96">
    <cfRule type="cellIs" dxfId="3" priority="7" operator="lessThan">
      <formula>0</formula>
    </cfRule>
    <cfRule type="cellIs" dxfId="2" priority="8" operator="greaterThan">
      <formula>0</formula>
    </cfRule>
  </conditionalFormatting>
  <conditionalFormatting sqref="K98:K149 K151:K1048576">
    <cfRule type="cellIs" dxfId="1" priority="1" operator="lessThan">
      <formula>0</formula>
    </cfRule>
    <cfRule type="cellIs" dxfId="0" priority="2" operator="greaterThan">
      <formula>0</formula>
    </cfRule>
  </conditionalFormatting>
  <printOptions horizontalCentered="1"/>
  <pageMargins left="0.5" right="0.5" top="1.25" bottom="0.75" header="0.5" footer="0.5"/>
  <pageSetup scale="40" orientation="portrait" r:id="rId1"/>
  <headerFooter alignWithMargins="0">
    <oddHeader>&amp;C&amp;"Times New Roman,Bold"&amp;12Universal Service Administrative Company 
&amp;"Times New Roman,Regular"  4th Quarter 2023 Budget
&amp;R&amp;"Aptos"&amp;14&amp;K000000 A&amp;1#_x000D_&amp;"Arialri"&amp;10&amp;K000000&amp;"Times New Roman,Regular"Available for Public Use
Appendix M01
 4Q2023
Page &amp;P of &amp;N</oddHeader>
    <oddFooter>&amp;L&amp;"Times New Roman,Regular"USAC&amp;R&amp;"Times New Roman,Regular"August #, 2022</oddFooter>
  </headerFooter>
  <rowBreaks count="2" manualBreakCount="2">
    <brk id="53" min="1" max="6" man="1"/>
    <brk id="10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F7102-4DD9-4205-9F81-8D1055011492}">
  <sheetPr>
    <pageSetUpPr fitToPage="1"/>
  </sheetPr>
  <dimension ref="A1:S136"/>
  <sheetViews>
    <sheetView showGridLines="0" tabSelected="1" topLeftCell="A137" zoomScale="110" zoomScaleNormal="110" zoomScaleSheetLayoutView="110" zoomScalePageLayoutView="70" workbookViewId="0">
      <selection activeCell="A152" sqref="A152:B152"/>
    </sheetView>
  </sheetViews>
  <sheetFormatPr defaultColWidth="8.7109375" defaultRowHeight="12.75" x14ac:dyDescent="0.2"/>
  <cols>
    <col min="1" max="1" width="9.7109375" style="1" customWidth="1"/>
    <col min="2" max="2" width="8.7109375" style="1"/>
    <col min="3" max="3" width="13.7109375" style="1" customWidth="1"/>
    <col min="4" max="4" width="3.7109375" style="1" customWidth="1"/>
    <col min="5" max="5" width="11.28515625" style="1" customWidth="1"/>
    <col min="6" max="6" width="22" style="1" customWidth="1"/>
    <col min="7" max="7" width="18.7109375" style="3" customWidth="1"/>
    <col min="8" max="8" width="18.7109375" style="30" customWidth="1"/>
    <col min="9" max="16384" width="8.7109375" style="7"/>
  </cols>
  <sheetData>
    <row r="1" spans="1:10" x14ac:dyDescent="0.2">
      <c r="A1" s="73"/>
      <c r="B1" s="73"/>
      <c r="C1" s="12"/>
      <c r="D1" s="12"/>
      <c r="F1" s="74"/>
      <c r="G1" s="32"/>
      <c r="H1" s="32"/>
    </row>
    <row r="2" spans="1:10" x14ac:dyDescent="0.2">
      <c r="F2" s="74"/>
      <c r="G2" s="32"/>
      <c r="H2" s="32"/>
    </row>
    <row r="3" spans="1:10" ht="15" customHeight="1" x14ac:dyDescent="0.25">
      <c r="B3" s="80" t="s">
        <v>4</v>
      </c>
      <c r="C3" s="80"/>
      <c r="D3" s="80"/>
      <c r="E3" s="80"/>
      <c r="F3" s="80"/>
      <c r="G3" s="80"/>
      <c r="H3" s="26"/>
    </row>
    <row r="4" spans="1:10" ht="12" customHeight="1" x14ac:dyDescent="0.2">
      <c r="B4" s="81" t="s">
        <v>0</v>
      </c>
      <c r="C4" s="81"/>
      <c r="D4" s="81"/>
      <c r="E4" s="81"/>
      <c r="F4" s="81"/>
      <c r="G4" s="81"/>
      <c r="H4" s="27"/>
    </row>
    <row r="5" spans="1:10" ht="12" customHeight="1" x14ac:dyDescent="0.2">
      <c r="G5" s="8"/>
      <c r="H5" s="28"/>
    </row>
    <row r="6" spans="1:10" ht="12" customHeight="1" x14ac:dyDescent="0.2">
      <c r="B6" s="9" t="s">
        <v>50</v>
      </c>
      <c r="G6" s="8"/>
      <c r="H6" s="28"/>
    </row>
    <row r="7" spans="1:10" ht="12" customHeight="1" x14ac:dyDescent="0.2">
      <c r="B7" s="1" t="s">
        <v>5</v>
      </c>
      <c r="E7" s="10"/>
      <c r="F7" s="10"/>
      <c r="G7" s="2">
        <v>17101.86</v>
      </c>
      <c r="H7" s="29"/>
    </row>
    <row r="8" spans="1:10" ht="12" customHeight="1" x14ac:dyDescent="0.2">
      <c r="B8" s="1" t="s">
        <v>30</v>
      </c>
      <c r="G8" s="3">
        <v>197.86</v>
      </c>
      <c r="H8" s="29"/>
    </row>
    <row r="9" spans="1:10" ht="12" customHeight="1" x14ac:dyDescent="0.2">
      <c r="B9" s="1" t="s">
        <v>31</v>
      </c>
      <c r="G9" s="3">
        <v>113.74</v>
      </c>
      <c r="H9" s="29"/>
    </row>
    <row r="10" spans="1:10" ht="12" customHeight="1" x14ac:dyDescent="0.2">
      <c r="B10" s="1" t="s">
        <v>32</v>
      </c>
      <c r="G10" s="3">
        <v>746.41</v>
      </c>
      <c r="H10" s="29"/>
      <c r="I10" s="85"/>
      <c r="J10" s="85"/>
    </row>
    <row r="11" spans="1:10" ht="12" customHeight="1" x14ac:dyDescent="0.2">
      <c r="B11" s="1" t="s">
        <v>33</v>
      </c>
      <c r="G11" s="3">
        <v>427.99</v>
      </c>
      <c r="H11" s="29"/>
      <c r="I11" s="85"/>
      <c r="J11" s="85"/>
    </row>
    <row r="12" spans="1:10" ht="12" customHeight="1" x14ac:dyDescent="0.2">
      <c r="B12" s="1" t="s">
        <v>34</v>
      </c>
      <c r="G12" s="3">
        <v>5868.39</v>
      </c>
      <c r="H12" s="29"/>
      <c r="I12" s="85"/>
      <c r="J12" s="85"/>
    </row>
    <row r="13" spans="1:10" ht="12" customHeight="1" x14ac:dyDescent="0.2">
      <c r="B13" s="1" t="s">
        <v>35</v>
      </c>
      <c r="G13" s="3">
        <v>6076.45</v>
      </c>
      <c r="H13" s="29"/>
      <c r="I13" s="85"/>
      <c r="J13" s="85"/>
    </row>
    <row r="14" spans="1:10" ht="12" customHeight="1" x14ac:dyDescent="0.2">
      <c r="B14" s="11" t="s">
        <v>1</v>
      </c>
      <c r="G14" s="3">
        <v>1870.25</v>
      </c>
      <c r="H14" s="29"/>
      <c r="I14" s="85"/>
      <c r="J14" s="85"/>
    </row>
    <row r="15" spans="1:10" ht="12" customHeight="1" x14ac:dyDescent="0.2">
      <c r="B15" s="1" t="s">
        <v>37</v>
      </c>
      <c r="G15" s="3">
        <v>283.38</v>
      </c>
      <c r="H15" s="29"/>
      <c r="I15" s="85"/>
      <c r="J15" s="85"/>
    </row>
    <row r="16" spans="1:10" ht="12" customHeight="1" x14ac:dyDescent="0.2">
      <c r="B16" s="1" t="s">
        <v>40</v>
      </c>
      <c r="G16" s="3">
        <v>94.44</v>
      </c>
      <c r="H16" s="29"/>
      <c r="I16" s="85"/>
      <c r="J16" s="85"/>
    </row>
    <row r="17" spans="2:19" ht="12" customHeight="1" x14ac:dyDescent="0.2">
      <c r="B17" s="1" t="s">
        <v>36</v>
      </c>
      <c r="G17" s="45">
        <v>208.38</v>
      </c>
      <c r="H17" s="29"/>
    </row>
    <row r="18" spans="2:19" ht="12" customHeight="1" x14ac:dyDescent="0.2">
      <c r="B18" s="1" t="s">
        <v>10</v>
      </c>
      <c r="G18" s="4">
        <v>-91.39</v>
      </c>
      <c r="H18" s="29"/>
    </row>
    <row r="19" spans="2:19" ht="12" customHeight="1" x14ac:dyDescent="0.2">
      <c r="G19" s="6">
        <f>SUM(G7:G18)</f>
        <v>32897.760000000002</v>
      </c>
      <c r="H19" s="29"/>
    </row>
    <row r="20" spans="2:19" ht="12" customHeight="1" x14ac:dyDescent="0.2">
      <c r="B20" s="1" t="s">
        <v>2</v>
      </c>
      <c r="C20" s="12" t="s">
        <v>13</v>
      </c>
      <c r="H20" s="29"/>
    </row>
    <row r="21" spans="2:19" ht="12" customHeight="1" x14ac:dyDescent="0.2">
      <c r="C21" s="12"/>
      <c r="H21" s="29"/>
    </row>
    <row r="22" spans="2:19" ht="12" customHeight="1" x14ac:dyDescent="0.2">
      <c r="B22" s="9" t="s">
        <v>51</v>
      </c>
      <c r="C22" s="12"/>
      <c r="H22" s="29"/>
      <c r="S22" s="72"/>
    </row>
    <row r="23" spans="2:19" ht="12" customHeight="1" x14ac:dyDescent="0.2">
      <c r="B23" s="1" t="s">
        <v>12</v>
      </c>
      <c r="C23" s="12"/>
      <c r="G23" s="5">
        <v>1090.81</v>
      </c>
      <c r="H23" s="29"/>
    </row>
    <row r="24" spans="2:19" ht="12" customHeight="1" x14ac:dyDescent="0.2">
      <c r="C24" s="12" t="s">
        <v>14</v>
      </c>
      <c r="G24" s="6">
        <f t="shared" ref="G24" si="0">SUM(G23)</f>
        <v>1090.81</v>
      </c>
      <c r="H24" s="29"/>
    </row>
    <row r="25" spans="2:19" ht="12" customHeight="1" x14ac:dyDescent="0.2">
      <c r="C25" s="12"/>
      <c r="H25" s="29"/>
    </row>
    <row r="26" spans="2:19" ht="12" customHeight="1" x14ac:dyDescent="0.2">
      <c r="C26" s="12" t="s">
        <v>15</v>
      </c>
      <c r="G26" s="6">
        <f>SUM(G19,G24)</f>
        <v>33988.57</v>
      </c>
      <c r="H26" s="29"/>
    </row>
    <row r="27" spans="2:19" ht="12" customHeight="1" x14ac:dyDescent="0.2">
      <c r="C27" s="12"/>
      <c r="H27" s="29"/>
    </row>
    <row r="28" spans="2:19" ht="12" customHeight="1" x14ac:dyDescent="0.2">
      <c r="C28" s="12" t="s">
        <v>3</v>
      </c>
      <c r="H28" s="29"/>
    </row>
    <row r="29" spans="2:19" ht="12" customHeight="1" x14ac:dyDescent="0.2">
      <c r="C29" s="12"/>
      <c r="H29" s="29"/>
    </row>
    <row r="30" spans="2:19" ht="15" customHeight="1" x14ac:dyDescent="0.2">
      <c r="C30" s="12"/>
      <c r="H30" s="29"/>
    </row>
    <row r="31" spans="2:19" ht="15.75" x14ac:dyDescent="0.25">
      <c r="B31" s="79" t="s">
        <v>11</v>
      </c>
      <c r="C31" s="79"/>
      <c r="D31" s="79"/>
      <c r="E31" s="79"/>
      <c r="F31" s="79"/>
      <c r="G31" s="79"/>
      <c r="H31" s="29"/>
    </row>
    <row r="32" spans="2:19" ht="12" customHeight="1" x14ac:dyDescent="0.2">
      <c r="B32" s="81" t="s">
        <v>0</v>
      </c>
      <c r="C32" s="81"/>
      <c r="D32" s="81"/>
      <c r="E32" s="81"/>
      <c r="F32" s="81"/>
      <c r="G32" s="81"/>
      <c r="H32" s="29"/>
    </row>
    <row r="33" spans="2:8" ht="12" customHeight="1" x14ac:dyDescent="0.2">
      <c r="H33" s="29"/>
    </row>
    <row r="34" spans="2:8" ht="12" customHeight="1" x14ac:dyDescent="0.2">
      <c r="B34" s="9" t="str">
        <f>B6</f>
        <v>3rd Quarter Operating Budget:</v>
      </c>
      <c r="F34" s="13"/>
      <c r="G34" s="8"/>
      <c r="H34" s="29"/>
    </row>
    <row r="35" spans="2:8" ht="12" customHeight="1" x14ac:dyDescent="0.2">
      <c r="B35" s="1" t="s">
        <v>5</v>
      </c>
      <c r="G35" s="2">
        <v>2516.85</v>
      </c>
      <c r="H35" s="29"/>
    </row>
    <row r="36" spans="2:8" ht="12" customHeight="1" x14ac:dyDescent="0.2">
      <c r="B36" s="1" t="s">
        <v>30</v>
      </c>
      <c r="G36" s="3">
        <v>2.25</v>
      </c>
      <c r="H36" s="29"/>
    </row>
    <row r="37" spans="2:8" ht="12" customHeight="1" x14ac:dyDescent="0.2">
      <c r="B37" s="1" t="s">
        <v>31</v>
      </c>
      <c r="G37" s="3">
        <v>1.34</v>
      </c>
      <c r="H37" s="29"/>
    </row>
    <row r="38" spans="2:8" ht="12" customHeight="1" x14ac:dyDescent="0.2">
      <c r="B38" s="1" t="s">
        <v>32</v>
      </c>
      <c r="G38" s="3">
        <v>629.44000000000005</v>
      </c>
      <c r="H38" s="29"/>
    </row>
    <row r="39" spans="2:8" ht="12" customHeight="1" x14ac:dyDescent="0.2">
      <c r="B39" s="1" t="s">
        <v>33</v>
      </c>
      <c r="G39" s="3">
        <v>360.92</v>
      </c>
      <c r="H39" s="29"/>
    </row>
    <row r="40" spans="2:8" ht="12" customHeight="1" x14ac:dyDescent="0.2">
      <c r="B40" s="1" t="s">
        <v>34</v>
      </c>
      <c r="G40" s="3">
        <v>2790.63</v>
      </c>
      <c r="H40" s="29"/>
    </row>
    <row r="41" spans="2:8" ht="12" customHeight="1" x14ac:dyDescent="0.2">
      <c r="B41" s="1" t="s">
        <v>35</v>
      </c>
      <c r="G41" s="3">
        <v>62.45</v>
      </c>
      <c r="H41" s="29"/>
    </row>
    <row r="42" spans="2:8" ht="12" customHeight="1" x14ac:dyDescent="0.2">
      <c r="B42" s="1" t="s">
        <v>1</v>
      </c>
      <c r="G42" s="3">
        <v>0</v>
      </c>
      <c r="H42" s="29"/>
    </row>
    <row r="43" spans="2:8" ht="12" customHeight="1" x14ac:dyDescent="0.2">
      <c r="B43" s="1" t="s">
        <v>37</v>
      </c>
      <c r="G43" s="3">
        <v>0</v>
      </c>
      <c r="H43" s="29"/>
    </row>
    <row r="44" spans="2:8" ht="12" customHeight="1" x14ac:dyDescent="0.2">
      <c r="B44" s="1" t="s">
        <v>40</v>
      </c>
      <c r="G44" s="3">
        <v>0</v>
      </c>
      <c r="H44" s="29"/>
    </row>
    <row r="45" spans="2:8" ht="12" customHeight="1" x14ac:dyDescent="0.2">
      <c r="B45" s="1" t="s">
        <v>36</v>
      </c>
      <c r="E45" s="14"/>
      <c r="G45" s="3">
        <v>0</v>
      </c>
      <c r="H45" s="29"/>
    </row>
    <row r="46" spans="2:8" ht="12" customHeight="1" x14ac:dyDescent="0.2">
      <c r="B46" s="1" t="s">
        <v>9</v>
      </c>
      <c r="G46" s="4">
        <v>11254.32</v>
      </c>
      <c r="H46" s="29"/>
    </row>
    <row r="47" spans="2:8" ht="12" customHeight="1" x14ac:dyDescent="0.2">
      <c r="B47" s="12" t="s">
        <v>16</v>
      </c>
      <c r="E47" s="14"/>
      <c r="G47" s="6">
        <f>SUM(G35:G46)</f>
        <v>17618.2</v>
      </c>
      <c r="H47" s="29"/>
    </row>
    <row r="48" spans="2:8" ht="12" customHeight="1" x14ac:dyDescent="0.2">
      <c r="B48" s="12"/>
      <c r="E48" s="14"/>
      <c r="G48" s="15"/>
      <c r="H48" s="29"/>
    </row>
    <row r="49" spans="2:8" ht="12" customHeight="1" x14ac:dyDescent="0.2">
      <c r="B49" s="9" t="str">
        <f>B22</f>
        <v>3rd Quarter Capital Budget:</v>
      </c>
      <c r="C49" s="12"/>
      <c r="H49" s="29"/>
    </row>
    <row r="50" spans="2:8" ht="12" customHeight="1" x14ac:dyDescent="0.2">
      <c r="B50" s="1" t="s">
        <v>29</v>
      </c>
      <c r="C50" s="12"/>
      <c r="G50" s="2">
        <v>333.77</v>
      </c>
      <c r="H50" s="29"/>
    </row>
    <row r="51" spans="2:8" ht="12" customHeight="1" x14ac:dyDescent="0.2">
      <c r="B51" s="1" t="s">
        <v>17</v>
      </c>
      <c r="C51" s="12"/>
      <c r="G51" s="4">
        <v>373.17</v>
      </c>
      <c r="H51" s="29"/>
    </row>
    <row r="52" spans="2:8" ht="12" customHeight="1" x14ac:dyDescent="0.2">
      <c r="B52" s="12" t="s">
        <v>18</v>
      </c>
      <c r="C52" s="12"/>
      <c r="G52" s="6">
        <f>SUM(G50:G51)</f>
        <v>706.94</v>
      </c>
      <c r="H52" s="29"/>
    </row>
    <row r="53" spans="2:8" ht="12" customHeight="1" x14ac:dyDescent="0.2">
      <c r="C53" s="12"/>
      <c r="H53" s="29"/>
    </row>
    <row r="54" spans="2:8" ht="12" customHeight="1" x14ac:dyDescent="0.2">
      <c r="C54" s="12" t="s">
        <v>19</v>
      </c>
      <c r="G54" s="6">
        <f>SUM(G47,G52)</f>
        <v>18325.14</v>
      </c>
      <c r="H54" s="29"/>
    </row>
    <row r="55" spans="2:8" ht="12" customHeight="1" x14ac:dyDescent="0.2">
      <c r="C55" s="12"/>
      <c r="H55" s="29"/>
    </row>
    <row r="56" spans="2:8" ht="15" customHeight="1" x14ac:dyDescent="0.2">
      <c r="C56" s="12"/>
      <c r="H56" s="29"/>
    </row>
    <row r="57" spans="2:8" ht="15.75" x14ac:dyDescent="0.25">
      <c r="B57" s="79" t="s">
        <v>7</v>
      </c>
      <c r="C57" s="79"/>
      <c r="D57" s="79"/>
      <c r="E57" s="79"/>
      <c r="F57" s="79"/>
      <c r="G57" s="79"/>
      <c r="H57" s="29"/>
    </row>
    <row r="58" spans="2:8" ht="12" customHeight="1" x14ac:dyDescent="0.2">
      <c r="B58" s="81" t="s">
        <v>0</v>
      </c>
      <c r="C58" s="81"/>
      <c r="D58" s="81"/>
      <c r="E58" s="81"/>
      <c r="F58" s="81"/>
      <c r="G58" s="81"/>
      <c r="H58" s="29"/>
    </row>
    <row r="59" spans="2:8" ht="13.5" customHeight="1" x14ac:dyDescent="0.2">
      <c r="B59" s="12"/>
      <c r="E59" s="16"/>
      <c r="H59" s="29"/>
    </row>
    <row r="60" spans="2:8" x14ac:dyDescent="0.2">
      <c r="B60" s="9" t="str">
        <f>B6</f>
        <v>3rd Quarter Operating Budget:</v>
      </c>
      <c r="E60" s="14"/>
      <c r="G60" s="8"/>
      <c r="H60" s="29"/>
    </row>
    <row r="61" spans="2:8" ht="12" customHeight="1" x14ac:dyDescent="0.2">
      <c r="B61" s="1" t="s">
        <v>5</v>
      </c>
      <c r="E61" s="14"/>
      <c r="G61" s="29">
        <v>3296.05</v>
      </c>
      <c r="H61" s="29"/>
    </row>
    <row r="62" spans="2:8" ht="12" customHeight="1" x14ac:dyDescent="0.2">
      <c r="B62" s="1" t="s">
        <v>30</v>
      </c>
      <c r="E62" s="14"/>
      <c r="G62" s="30">
        <v>6.06</v>
      </c>
      <c r="H62" s="29"/>
    </row>
    <row r="63" spans="2:8" ht="12" customHeight="1" x14ac:dyDescent="0.2">
      <c r="B63" s="1" t="s">
        <v>31</v>
      </c>
      <c r="E63" s="14"/>
      <c r="G63" s="30">
        <v>1.92</v>
      </c>
      <c r="H63" s="29"/>
    </row>
    <row r="64" spans="2:8" ht="12" customHeight="1" x14ac:dyDescent="0.2">
      <c r="B64" s="1" t="s">
        <v>32</v>
      </c>
      <c r="E64" s="14"/>
      <c r="G64" s="30">
        <v>152.18</v>
      </c>
      <c r="H64" s="29"/>
    </row>
    <row r="65" spans="2:8" ht="12" customHeight="1" x14ac:dyDescent="0.2">
      <c r="B65" s="1" t="s">
        <v>33</v>
      </c>
      <c r="E65" s="14"/>
      <c r="G65" s="30">
        <v>246.33</v>
      </c>
      <c r="H65" s="29"/>
    </row>
    <row r="66" spans="2:8" ht="12" customHeight="1" x14ac:dyDescent="0.2">
      <c r="B66" s="1" t="s">
        <v>38</v>
      </c>
      <c r="E66" s="14"/>
      <c r="G66" s="30">
        <v>2328.4899999999998</v>
      </c>
      <c r="H66" s="29"/>
    </row>
    <row r="67" spans="2:8" ht="12" customHeight="1" x14ac:dyDescent="0.2">
      <c r="B67" s="1" t="s">
        <v>34</v>
      </c>
      <c r="E67" s="14"/>
      <c r="G67" s="30">
        <v>5151.6899999999996</v>
      </c>
      <c r="H67" s="29"/>
    </row>
    <row r="68" spans="2:8" ht="12" customHeight="1" x14ac:dyDescent="0.2">
      <c r="B68" s="1" t="s">
        <v>35</v>
      </c>
      <c r="E68" s="14"/>
      <c r="G68" s="30">
        <v>602.83000000000004</v>
      </c>
      <c r="H68" s="29"/>
    </row>
    <row r="69" spans="2:8" ht="12" customHeight="1" x14ac:dyDescent="0.2">
      <c r="B69" s="1" t="s">
        <v>1</v>
      </c>
      <c r="E69" s="14"/>
      <c r="G69" s="30">
        <v>0</v>
      </c>
      <c r="H69" s="29"/>
    </row>
    <row r="70" spans="2:8" ht="12" customHeight="1" x14ac:dyDescent="0.2">
      <c r="B70" s="1" t="s">
        <v>37</v>
      </c>
      <c r="E70" s="14"/>
      <c r="G70" s="30">
        <v>0</v>
      </c>
      <c r="H70" s="29"/>
    </row>
    <row r="71" spans="2:8" ht="12" customHeight="1" x14ac:dyDescent="0.2">
      <c r="B71" s="1" t="s">
        <v>40</v>
      </c>
      <c r="E71" s="14"/>
      <c r="G71" s="30">
        <v>0</v>
      </c>
      <c r="H71" s="29"/>
    </row>
    <row r="72" spans="2:8" ht="12" customHeight="1" x14ac:dyDescent="0.2">
      <c r="B72" s="1" t="s">
        <v>36</v>
      </c>
      <c r="E72" s="14"/>
      <c r="G72" s="3">
        <v>453.7</v>
      </c>
      <c r="H72" s="29"/>
    </row>
    <row r="73" spans="2:8" ht="12" customHeight="1" x14ac:dyDescent="0.2">
      <c r="B73" s="1" t="s">
        <v>9</v>
      </c>
      <c r="E73" s="14"/>
      <c r="G73" s="41">
        <v>7790.19</v>
      </c>
      <c r="H73" s="29"/>
    </row>
    <row r="74" spans="2:8" ht="12" customHeight="1" x14ac:dyDescent="0.2">
      <c r="B74" s="12" t="s">
        <v>20</v>
      </c>
      <c r="G74" s="6">
        <f>SUM(G61:G73)</f>
        <v>20029.439999999999</v>
      </c>
      <c r="H74" s="29"/>
    </row>
    <row r="75" spans="2:8" ht="12" customHeight="1" x14ac:dyDescent="0.2">
      <c r="G75" s="15"/>
      <c r="H75" s="29"/>
    </row>
    <row r="76" spans="2:8" ht="12" customHeight="1" x14ac:dyDescent="0.2">
      <c r="B76" s="9" t="str">
        <f>B22</f>
        <v>3rd Quarter Capital Budget:</v>
      </c>
      <c r="C76" s="12"/>
      <c r="H76" s="29"/>
    </row>
    <row r="77" spans="2:8" ht="12" customHeight="1" x14ac:dyDescent="0.2">
      <c r="B77" s="1" t="s">
        <v>29</v>
      </c>
      <c r="G77" s="2">
        <v>0</v>
      </c>
      <c r="H77" s="29"/>
    </row>
    <row r="78" spans="2:8" ht="12" customHeight="1" x14ac:dyDescent="0.2">
      <c r="B78" s="1" t="s">
        <v>17</v>
      </c>
      <c r="C78" s="12"/>
      <c r="G78" s="4">
        <v>258.3</v>
      </c>
      <c r="H78" s="29"/>
    </row>
    <row r="79" spans="2:8" ht="12" customHeight="1" x14ac:dyDescent="0.2">
      <c r="B79" s="12" t="s">
        <v>24</v>
      </c>
      <c r="C79" s="12"/>
      <c r="G79" s="6">
        <f>SUM(G77:G78)</f>
        <v>258.3</v>
      </c>
      <c r="H79" s="29"/>
    </row>
    <row r="80" spans="2:8" x14ac:dyDescent="0.2">
      <c r="C80" s="12"/>
      <c r="H80" s="29"/>
    </row>
    <row r="81" spans="2:8" x14ac:dyDescent="0.2">
      <c r="C81" s="12" t="s">
        <v>22</v>
      </c>
      <c r="G81" s="6">
        <f>SUM(G74,G79)</f>
        <v>20287.739999999998</v>
      </c>
      <c r="H81" s="29"/>
    </row>
    <row r="82" spans="2:8" x14ac:dyDescent="0.2">
      <c r="C82" s="12"/>
      <c r="H82" s="29"/>
    </row>
    <row r="83" spans="2:8" x14ac:dyDescent="0.2">
      <c r="C83" s="12"/>
      <c r="H83" s="29"/>
    </row>
    <row r="84" spans="2:8" ht="15.75" x14ac:dyDescent="0.25">
      <c r="B84" s="80" t="s">
        <v>8</v>
      </c>
      <c r="C84" s="80"/>
      <c r="D84" s="80"/>
      <c r="E84" s="80"/>
      <c r="F84" s="80"/>
      <c r="G84" s="80"/>
      <c r="H84" s="29"/>
    </row>
    <row r="85" spans="2:8" ht="12" customHeight="1" x14ac:dyDescent="0.2">
      <c r="B85" s="81" t="s">
        <v>0</v>
      </c>
      <c r="C85" s="81"/>
      <c r="D85" s="81"/>
      <c r="E85" s="81"/>
      <c r="F85" s="81"/>
      <c r="G85" s="81"/>
      <c r="H85" s="29"/>
    </row>
    <row r="86" spans="2:8" ht="12" customHeight="1" x14ac:dyDescent="0.25">
      <c r="E86" s="16"/>
      <c r="F86" s="17"/>
      <c r="H86" s="29"/>
    </row>
    <row r="87" spans="2:8" ht="12" customHeight="1" x14ac:dyDescent="0.2">
      <c r="B87" s="9" t="str">
        <f>B6</f>
        <v>3rd Quarter Operating Budget:</v>
      </c>
      <c r="G87" s="8"/>
      <c r="H87" s="29"/>
    </row>
    <row r="88" spans="2:8" ht="12" customHeight="1" x14ac:dyDescent="0.2">
      <c r="B88" s="1" t="s">
        <v>5</v>
      </c>
      <c r="E88" s="18"/>
      <c r="G88" s="2">
        <v>2502.4699999999998</v>
      </c>
      <c r="H88" s="29"/>
    </row>
    <row r="89" spans="2:8" ht="12" customHeight="1" x14ac:dyDescent="0.2">
      <c r="B89" s="1" t="s">
        <v>30</v>
      </c>
      <c r="E89" s="14"/>
      <c r="G89" s="3">
        <v>4.71</v>
      </c>
      <c r="H89" s="29"/>
    </row>
    <row r="90" spans="2:8" ht="12" customHeight="1" x14ac:dyDescent="0.2">
      <c r="B90" s="1" t="s">
        <v>31</v>
      </c>
      <c r="E90" s="14"/>
      <c r="G90" s="3">
        <v>1.81</v>
      </c>
      <c r="H90" s="29"/>
    </row>
    <row r="91" spans="2:8" ht="12" customHeight="1" x14ac:dyDescent="0.2">
      <c r="B91" s="1" t="s">
        <v>32</v>
      </c>
      <c r="E91" s="14"/>
      <c r="G91" s="3">
        <v>69.14</v>
      </c>
      <c r="H91" s="29"/>
    </row>
    <row r="92" spans="2:8" ht="12" customHeight="1" x14ac:dyDescent="0.2">
      <c r="B92" s="1" t="s">
        <v>33</v>
      </c>
      <c r="E92" s="14"/>
      <c r="G92" s="3">
        <v>140.74</v>
      </c>
      <c r="H92" s="29"/>
    </row>
    <row r="93" spans="2:8" ht="12" customHeight="1" x14ac:dyDescent="0.2">
      <c r="B93" s="1" t="s">
        <v>34</v>
      </c>
      <c r="E93" s="14"/>
      <c r="G93" s="3">
        <v>520.05999999999995</v>
      </c>
      <c r="H93" s="29"/>
    </row>
    <row r="94" spans="2:8" ht="12" customHeight="1" x14ac:dyDescent="0.2">
      <c r="B94" s="1" t="s">
        <v>35</v>
      </c>
      <c r="E94" s="14"/>
      <c r="G94" s="3">
        <v>256.5</v>
      </c>
      <c r="H94" s="29"/>
    </row>
    <row r="95" spans="2:8" ht="12" customHeight="1" x14ac:dyDescent="0.2">
      <c r="B95" s="1" t="s">
        <v>1</v>
      </c>
      <c r="E95" s="14"/>
      <c r="G95" s="3">
        <v>0</v>
      </c>
      <c r="H95" s="29"/>
    </row>
    <row r="96" spans="2:8" ht="12" customHeight="1" x14ac:dyDescent="0.2">
      <c r="B96" s="1" t="s">
        <v>37</v>
      </c>
      <c r="E96" s="14"/>
      <c r="G96" s="3">
        <v>0</v>
      </c>
      <c r="H96" s="29"/>
    </row>
    <row r="97" spans="2:8" ht="12" customHeight="1" x14ac:dyDescent="0.2">
      <c r="B97" s="1" t="s">
        <v>40</v>
      </c>
      <c r="E97" s="14"/>
      <c r="G97" s="3">
        <v>0</v>
      </c>
      <c r="H97" s="29"/>
    </row>
    <row r="98" spans="2:8" ht="12" customHeight="1" x14ac:dyDescent="0.2">
      <c r="B98" s="1" t="s">
        <v>36</v>
      </c>
      <c r="E98" s="14"/>
      <c r="G98" s="3">
        <v>0</v>
      </c>
      <c r="H98" s="29"/>
    </row>
    <row r="99" spans="2:8" ht="12" customHeight="1" x14ac:dyDescent="0.2">
      <c r="B99" s="1" t="s">
        <v>9</v>
      </c>
      <c r="E99" s="14"/>
      <c r="G99" s="4">
        <v>3589.14</v>
      </c>
      <c r="H99" s="29"/>
    </row>
    <row r="100" spans="2:8" ht="12" customHeight="1" x14ac:dyDescent="0.2">
      <c r="B100" s="12" t="s">
        <v>21</v>
      </c>
      <c r="G100" s="6">
        <f>SUM(G88:G99)</f>
        <v>7084.57</v>
      </c>
      <c r="H100" s="29"/>
    </row>
    <row r="101" spans="2:8" ht="12" customHeight="1" x14ac:dyDescent="0.2">
      <c r="B101" s="12"/>
      <c r="G101" s="15"/>
      <c r="H101" s="29"/>
    </row>
    <row r="102" spans="2:8" ht="12" customHeight="1" x14ac:dyDescent="0.2">
      <c r="B102" s="9" t="str">
        <f>B22</f>
        <v>3rd Quarter Capital Budget:</v>
      </c>
      <c r="C102" s="12"/>
      <c r="H102" s="29"/>
    </row>
    <row r="103" spans="2:8" ht="12" customHeight="1" x14ac:dyDescent="0.2">
      <c r="B103" s="1" t="s">
        <v>29</v>
      </c>
      <c r="G103" s="2">
        <v>0</v>
      </c>
      <c r="H103" s="29"/>
    </row>
    <row r="104" spans="2:8" ht="12" customHeight="1" x14ac:dyDescent="0.2">
      <c r="B104" s="1" t="s">
        <v>17</v>
      </c>
      <c r="C104" s="12"/>
      <c r="G104" s="4">
        <v>119.01</v>
      </c>
      <c r="H104" s="29"/>
    </row>
    <row r="105" spans="2:8" ht="12" customHeight="1" x14ac:dyDescent="0.2">
      <c r="B105" s="12" t="s">
        <v>23</v>
      </c>
      <c r="C105" s="12"/>
      <c r="G105" s="6">
        <f>SUM(G103:G104)</f>
        <v>119.01</v>
      </c>
      <c r="H105" s="29"/>
    </row>
    <row r="106" spans="2:8" ht="12" customHeight="1" x14ac:dyDescent="0.2">
      <c r="C106" s="12"/>
      <c r="H106" s="29"/>
    </row>
    <row r="107" spans="2:8" ht="12" customHeight="1" x14ac:dyDescent="0.2">
      <c r="C107" s="12" t="s">
        <v>25</v>
      </c>
      <c r="G107" s="6">
        <f>SUM(G100,G105)</f>
        <v>7203.58</v>
      </c>
      <c r="H107" s="29"/>
    </row>
    <row r="108" spans="2:8" ht="12" customHeight="1" x14ac:dyDescent="0.25">
      <c r="G108" s="19"/>
      <c r="H108" s="29"/>
    </row>
    <row r="109" spans="2:8" ht="15" customHeight="1" x14ac:dyDescent="0.25">
      <c r="G109" s="19"/>
      <c r="H109" s="29"/>
    </row>
    <row r="110" spans="2:8" ht="15.75" x14ac:dyDescent="0.25">
      <c r="B110" s="80" t="s">
        <v>6</v>
      </c>
      <c r="C110" s="80"/>
      <c r="D110" s="80"/>
      <c r="E110" s="80"/>
      <c r="F110" s="80"/>
      <c r="G110" s="80"/>
      <c r="H110" s="29"/>
    </row>
    <row r="111" spans="2:8" ht="12" customHeight="1" x14ac:dyDescent="0.2">
      <c r="B111" s="81" t="s">
        <v>0</v>
      </c>
      <c r="C111" s="81"/>
      <c r="D111" s="81"/>
      <c r="E111" s="81"/>
      <c r="F111" s="81"/>
      <c r="G111" s="81"/>
      <c r="H111" s="29"/>
    </row>
    <row r="112" spans="2:8" ht="12" customHeight="1" x14ac:dyDescent="0.2">
      <c r="H112" s="29"/>
    </row>
    <row r="113" spans="2:8" ht="12" customHeight="1" x14ac:dyDescent="0.2">
      <c r="B113" s="9" t="str">
        <f>B6</f>
        <v>3rd Quarter Operating Budget:</v>
      </c>
      <c r="E113" s="20"/>
      <c r="F113" s="10"/>
      <c r="G113" s="8"/>
      <c r="H113" s="29"/>
    </row>
    <row r="114" spans="2:8" ht="12" customHeight="1" x14ac:dyDescent="0.2">
      <c r="B114" s="1" t="s">
        <v>5</v>
      </c>
      <c r="E114" s="14"/>
      <c r="F114" s="14"/>
      <c r="G114" s="2">
        <v>3358.83</v>
      </c>
      <c r="H114" s="29"/>
    </row>
    <row r="115" spans="2:8" ht="12" customHeight="1" x14ac:dyDescent="0.2">
      <c r="B115" s="1" t="s">
        <v>30</v>
      </c>
      <c r="E115" s="14"/>
      <c r="F115" s="14"/>
      <c r="G115" s="3">
        <v>25.61</v>
      </c>
      <c r="H115" s="29"/>
    </row>
    <row r="116" spans="2:8" ht="12" customHeight="1" x14ac:dyDescent="0.2">
      <c r="B116" s="1" t="s">
        <v>31</v>
      </c>
      <c r="E116" s="14"/>
      <c r="F116" s="14"/>
      <c r="G116" s="3">
        <v>2.0299999999999998</v>
      </c>
      <c r="H116" s="29"/>
    </row>
    <row r="117" spans="2:8" ht="12" customHeight="1" x14ac:dyDescent="0.2">
      <c r="B117" s="1" t="s">
        <v>39</v>
      </c>
      <c r="E117" s="14"/>
      <c r="F117" s="14"/>
      <c r="G117" s="3">
        <v>3657.29</v>
      </c>
      <c r="H117" s="29"/>
    </row>
    <row r="118" spans="2:8" ht="12" customHeight="1" x14ac:dyDescent="0.2">
      <c r="B118" s="1" t="s">
        <v>32</v>
      </c>
      <c r="E118" s="14"/>
      <c r="F118" s="14"/>
      <c r="G118" s="3">
        <v>0</v>
      </c>
      <c r="H118" s="29"/>
    </row>
    <row r="119" spans="2:8" ht="12" customHeight="1" x14ac:dyDescent="0.2">
      <c r="B119" s="1" t="s">
        <v>33</v>
      </c>
      <c r="E119" s="14"/>
      <c r="F119" s="14"/>
      <c r="G119" s="3">
        <v>250.75</v>
      </c>
      <c r="H119" s="29"/>
    </row>
    <row r="120" spans="2:8" ht="12" customHeight="1" x14ac:dyDescent="0.2">
      <c r="B120" s="1" t="s">
        <v>34</v>
      </c>
      <c r="E120" s="14"/>
      <c r="F120" s="14"/>
      <c r="G120" s="3">
        <v>1461.17</v>
      </c>
      <c r="H120" s="29"/>
    </row>
    <row r="121" spans="2:8" ht="12" customHeight="1" x14ac:dyDescent="0.2">
      <c r="B121" s="1" t="s">
        <v>35</v>
      </c>
      <c r="E121" s="14"/>
      <c r="F121" s="14"/>
      <c r="G121" s="3">
        <v>643.85</v>
      </c>
      <c r="H121" s="29"/>
    </row>
    <row r="122" spans="2:8" ht="12" customHeight="1" x14ac:dyDescent="0.2">
      <c r="B122" s="1" t="s">
        <v>1</v>
      </c>
      <c r="E122" s="14"/>
      <c r="F122" s="14"/>
      <c r="G122" s="3">
        <v>0</v>
      </c>
      <c r="H122" s="29"/>
    </row>
    <row r="123" spans="2:8" ht="12" customHeight="1" x14ac:dyDescent="0.2">
      <c r="B123" s="1" t="s">
        <v>37</v>
      </c>
      <c r="E123" s="14"/>
      <c r="F123" s="14"/>
      <c r="G123" s="3">
        <v>0</v>
      </c>
      <c r="H123" s="29"/>
    </row>
    <row r="124" spans="2:8" ht="12" customHeight="1" x14ac:dyDescent="0.2">
      <c r="B124" s="1" t="s">
        <v>40</v>
      </c>
      <c r="E124" s="14"/>
      <c r="F124" s="14"/>
      <c r="G124" s="3">
        <v>0</v>
      </c>
      <c r="H124" s="29"/>
    </row>
    <row r="125" spans="2:8" ht="12" customHeight="1" x14ac:dyDescent="0.2">
      <c r="B125" s="1" t="s">
        <v>36</v>
      </c>
      <c r="E125" s="14"/>
      <c r="G125" s="3">
        <v>0</v>
      </c>
      <c r="H125" s="29"/>
    </row>
    <row r="126" spans="2:8" ht="12" customHeight="1" x14ac:dyDescent="0.2">
      <c r="B126" s="1" t="s">
        <v>9</v>
      </c>
      <c r="E126" s="14"/>
      <c r="F126" s="14"/>
      <c r="G126" s="4">
        <v>10264.11</v>
      </c>
      <c r="H126" s="29"/>
    </row>
    <row r="127" spans="2:8" x14ac:dyDescent="0.2">
      <c r="B127" s="12" t="s">
        <v>26</v>
      </c>
      <c r="C127" s="12"/>
      <c r="E127" s="14"/>
      <c r="F127" s="20"/>
      <c r="G127" s="6">
        <f>SUM(G114:G126)</f>
        <v>19663.64</v>
      </c>
      <c r="H127" s="29"/>
    </row>
    <row r="128" spans="2:8" ht="12" customHeight="1" x14ac:dyDescent="0.2">
      <c r="F128" s="14"/>
      <c r="H128" s="29"/>
    </row>
    <row r="129" spans="2:8" ht="12" customHeight="1" x14ac:dyDescent="0.2">
      <c r="B129" s="9" t="str">
        <f>B22</f>
        <v>3rd Quarter Capital Budget:</v>
      </c>
      <c r="C129" s="12"/>
      <c r="H129" s="29"/>
    </row>
    <row r="130" spans="2:8" ht="12" customHeight="1" x14ac:dyDescent="0.2">
      <c r="B130" s="1" t="s">
        <v>29</v>
      </c>
      <c r="G130" s="2">
        <v>0</v>
      </c>
      <c r="H130" s="29"/>
    </row>
    <row r="131" spans="2:8" ht="12" customHeight="1" x14ac:dyDescent="0.2">
      <c r="B131" s="1" t="s">
        <v>17</v>
      </c>
      <c r="C131" s="12"/>
      <c r="G131" s="4">
        <v>340.33</v>
      </c>
      <c r="H131" s="29"/>
    </row>
    <row r="132" spans="2:8" ht="12" customHeight="1" x14ac:dyDescent="0.2">
      <c r="B132" s="12" t="s">
        <v>27</v>
      </c>
      <c r="C132" s="12"/>
      <c r="G132" s="6">
        <f>SUM(G130:G131)</f>
        <v>340.33</v>
      </c>
      <c r="H132" s="29"/>
    </row>
    <row r="133" spans="2:8" ht="12" customHeight="1" x14ac:dyDescent="0.2">
      <c r="C133" s="12"/>
      <c r="H133" s="29"/>
    </row>
    <row r="134" spans="2:8" x14ac:dyDescent="0.2">
      <c r="C134" s="12" t="s">
        <v>28</v>
      </c>
      <c r="G134" s="6">
        <f>SUM(G127,G132)</f>
        <v>20003.97</v>
      </c>
      <c r="H134" s="29"/>
    </row>
    <row r="135" spans="2:8" x14ac:dyDescent="0.2">
      <c r="C135" s="12"/>
      <c r="G135" s="6"/>
      <c r="H135" s="31"/>
    </row>
    <row r="136" spans="2:8" x14ac:dyDescent="0.2">
      <c r="B136" s="12"/>
      <c r="F136" s="20"/>
      <c r="G136" s="21"/>
      <c r="H136" s="32"/>
    </row>
  </sheetData>
  <mergeCells count="11">
    <mergeCell ref="B111:G111"/>
    <mergeCell ref="B3:G3"/>
    <mergeCell ref="B4:G4"/>
    <mergeCell ref="I10:J16"/>
    <mergeCell ref="B31:G31"/>
    <mergeCell ref="B32:G32"/>
    <mergeCell ref="B57:G57"/>
    <mergeCell ref="B58:G58"/>
    <mergeCell ref="B84:G84"/>
    <mergeCell ref="B85:G85"/>
    <mergeCell ref="B110:G110"/>
  </mergeCells>
  <printOptions horizontalCentered="1"/>
  <pageMargins left="0.5" right="0.5" top="1.25" bottom="0.75" header="0.5" footer="0.5"/>
  <pageSetup scale="40" orientation="portrait" r:id="rId1"/>
  <headerFooter alignWithMargins="0">
    <oddHeader>&amp;C&amp;"Times New Roman,Bold"&amp;12Universal Service Administrative Company 
&amp;"Times New Roman,Regular"  3rd Quarter 2026 Budget
&amp;R&amp;"Aptos,Regular"&amp;14&amp;K000000 &amp;1#
&amp;"Times New Roman,Regular"&amp;10Available for Public Use
Appendix M01
 3Q2026
Page &amp;P of &amp;N</oddHeader>
    <oddFooter xml:space="preserve">&amp;L&amp;"Times New Roman,Regular"USAC&amp;R&amp;"Times New Roman,Regular"May 1, 2026  </oddFooter>
  </headerFooter>
  <rowBreaks count="2" manualBreakCount="2">
    <brk id="54" min="1" max="6" man="1"/>
    <brk id="10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30"/>
  <sheetViews>
    <sheetView zoomScaleNormal="100" workbookViewId="0">
      <selection activeCell="F19" sqref="F19"/>
    </sheetView>
  </sheetViews>
  <sheetFormatPr defaultColWidth="9.28515625" defaultRowHeight="15" x14ac:dyDescent="0.25"/>
  <cols>
    <col min="1" max="1" width="40.7109375" style="42" customWidth="1"/>
    <col min="2" max="6" width="15.7109375" style="43" customWidth="1"/>
    <col min="7" max="7" width="9.28515625" style="43"/>
    <col min="8" max="9" width="15.7109375" style="43" customWidth="1"/>
    <col min="10" max="16384" width="9.28515625" style="43"/>
  </cols>
  <sheetData>
    <row r="1" spans="1:16" ht="16.5" thickBot="1" x14ac:dyDescent="0.3">
      <c r="A1" s="86" t="s">
        <v>77</v>
      </c>
      <c r="B1" s="86"/>
      <c r="C1" s="86"/>
      <c r="D1" s="86"/>
      <c r="E1" s="86"/>
      <c r="F1" s="86"/>
      <c r="H1" s="7"/>
    </row>
    <row r="2" spans="1:16" ht="14.65" customHeight="1" x14ac:dyDescent="0.25">
      <c r="A2" s="69" t="s">
        <v>52</v>
      </c>
      <c r="B2" s="70" t="s">
        <v>83</v>
      </c>
      <c r="C2" s="54"/>
      <c r="D2" s="54"/>
      <c r="E2" s="54"/>
      <c r="F2" s="54"/>
      <c r="H2" s="87" t="s">
        <v>76</v>
      </c>
      <c r="I2" s="87"/>
      <c r="J2" s="87"/>
      <c r="K2" s="87"/>
      <c r="L2" s="87"/>
      <c r="M2" s="87"/>
      <c r="N2" s="87"/>
      <c r="O2" s="87"/>
      <c r="P2" s="64"/>
    </row>
    <row r="3" spans="1:16" ht="14.65" customHeight="1" x14ac:dyDescent="0.25">
      <c r="A3" s="69" t="s">
        <v>53</v>
      </c>
      <c r="B3" s="70" t="s">
        <v>89</v>
      </c>
      <c r="C3" s="54"/>
      <c r="D3" s="54"/>
      <c r="E3" s="54"/>
      <c r="F3" s="54"/>
      <c r="H3" s="87"/>
      <c r="I3" s="87"/>
      <c r="J3" s="87"/>
      <c r="K3" s="87"/>
      <c r="L3" s="87"/>
      <c r="M3" s="87"/>
      <c r="N3" s="87"/>
      <c r="O3" s="87"/>
      <c r="P3" s="64"/>
    </row>
    <row r="4" spans="1:16" ht="14.65" customHeight="1" x14ac:dyDescent="0.25">
      <c r="A4" s="69" t="s">
        <v>54</v>
      </c>
      <c r="B4" s="70" t="s">
        <v>62</v>
      </c>
      <c r="C4" s="54"/>
      <c r="D4" s="54"/>
      <c r="E4" s="54"/>
      <c r="F4" s="54"/>
      <c r="H4" s="87"/>
      <c r="I4" s="87"/>
      <c r="J4" s="87"/>
      <c r="K4" s="87"/>
      <c r="L4" s="87"/>
      <c r="M4" s="87"/>
      <c r="N4" s="87"/>
      <c r="O4" s="87"/>
      <c r="P4" s="64"/>
    </row>
    <row r="5" spans="1:16" ht="14.65" customHeight="1" x14ac:dyDescent="0.25">
      <c r="A5" s="69" t="s">
        <v>55</v>
      </c>
      <c r="B5" s="70" t="s">
        <v>81</v>
      </c>
      <c r="C5" s="54"/>
      <c r="D5" s="54"/>
      <c r="E5" s="54"/>
      <c r="F5" s="54"/>
      <c r="H5" s="87"/>
      <c r="I5" s="87"/>
      <c r="J5" s="87"/>
      <c r="K5" s="87"/>
      <c r="L5" s="87"/>
      <c r="M5" s="87"/>
      <c r="N5" s="87"/>
      <c r="O5" s="87"/>
      <c r="P5" s="64"/>
    </row>
    <row r="6" spans="1:16" ht="14.65" customHeight="1" x14ac:dyDescent="0.25">
      <c r="A6" s="69" t="s">
        <v>56</v>
      </c>
      <c r="B6" s="70" t="s">
        <v>84</v>
      </c>
      <c r="C6" s="54"/>
      <c r="D6" s="54"/>
      <c r="E6" s="54"/>
      <c r="F6" s="54"/>
      <c r="H6" s="87"/>
      <c r="I6" s="87"/>
      <c r="J6" s="87"/>
      <c r="K6" s="87"/>
      <c r="L6" s="87"/>
      <c r="M6" s="87"/>
      <c r="N6" s="87"/>
      <c r="O6" s="87"/>
      <c r="P6" s="64"/>
    </row>
    <row r="7" spans="1:16" ht="14.65" customHeight="1" x14ac:dyDescent="0.25">
      <c r="A7" s="69" t="s">
        <v>57</v>
      </c>
      <c r="B7" s="70" t="s">
        <v>58</v>
      </c>
      <c r="C7" s="54"/>
      <c r="D7" s="54"/>
      <c r="E7" s="54"/>
      <c r="F7" s="54"/>
      <c r="H7" s="87"/>
      <c r="I7" s="87"/>
      <c r="J7" s="87"/>
      <c r="K7" s="87"/>
      <c r="L7" s="87"/>
      <c r="M7" s="87"/>
      <c r="N7" s="87"/>
      <c r="O7" s="87"/>
      <c r="P7" s="64"/>
    </row>
    <row r="8" spans="1:16" ht="14.65" customHeight="1" x14ac:dyDescent="0.25">
      <c r="A8" s="69" t="s">
        <v>59</v>
      </c>
      <c r="B8" s="71">
        <v>45572</v>
      </c>
      <c r="C8" s="54"/>
      <c r="D8" s="54"/>
      <c r="E8" s="54"/>
      <c r="F8" s="54"/>
      <c r="H8" s="87"/>
      <c r="I8" s="87"/>
      <c r="J8" s="87"/>
      <c r="K8" s="87"/>
      <c r="L8" s="87"/>
      <c r="M8" s="87"/>
      <c r="N8" s="87"/>
      <c r="O8" s="87"/>
      <c r="P8" s="64"/>
    </row>
    <row r="9" spans="1:16" ht="14.65" customHeight="1" x14ac:dyDescent="0.25">
      <c r="A9" s="54"/>
      <c r="B9" s="54"/>
      <c r="C9" s="54"/>
      <c r="D9" s="54"/>
      <c r="E9" s="54"/>
      <c r="F9" s="54"/>
      <c r="H9" s="55" t="s">
        <v>75</v>
      </c>
      <c r="I9" s="64"/>
      <c r="J9" s="64"/>
      <c r="K9" s="64"/>
      <c r="L9" s="64"/>
      <c r="M9" s="64"/>
      <c r="N9" s="64"/>
      <c r="O9" s="64"/>
      <c r="P9" s="64"/>
    </row>
    <row r="10" spans="1:16" ht="14.65" customHeight="1" x14ac:dyDescent="0.25">
      <c r="A10" s="53" t="s">
        <v>60</v>
      </c>
      <c r="B10" s="55" t="s">
        <v>85</v>
      </c>
      <c r="C10" s="56" t="s">
        <v>86</v>
      </c>
      <c r="D10" s="56" t="s">
        <v>87</v>
      </c>
      <c r="E10" s="56" t="s">
        <v>88</v>
      </c>
      <c r="F10" s="57">
        <v>2025</v>
      </c>
      <c r="H10" s="55" t="s">
        <v>80</v>
      </c>
      <c r="I10" s="55" t="s">
        <v>82</v>
      </c>
      <c r="J10" s="64"/>
      <c r="K10" s="64"/>
      <c r="L10" s="64"/>
    </row>
    <row r="11" spans="1:16" ht="14.65" customHeight="1" x14ac:dyDescent="0.25">
      <c r="A11" s="55" t="s">
        <v>61</v>
      </c>
      <c r="B11" s="55" t="s">
        <v>62</v>
      </c>
      <c r="C11" s="56" t="s">
        <v>71</v>
      </c>
      <c r="D11" s="56" t="s">
        <v>71</v>
      </c>
      <c r="E11" s="56" t="s">
        <v>71</v>
      </c>
      <c r="F11" s="56" t="s">
        <v>71</v>
      </c>
      <c r="H11" s="55" t="s">
        <v>71</v>
      </c>
      <c r="I11" s="55" t="s">
        <v>71</v>
      </c>
      <c r="J11" s="64"/>
      <c r="K11" s="64"/>
      <c r="L11" s="64"/>
    </row>
    <row r="12" spans="1:16" ht="14.65" customHeight="1" x14ac:dyDescent="0.25">
      <c r="A12" s="58" t="s">
        <v>5</v>
      </c>
      <c r="B12" s="68">
        <v>0</v>
      </c>
      <c r="C12" s="59"/>
      <c r="D12" s="59"/>
      <c r="E12" s="59"/>
      <c r="F12" s="59"/>
      <c r="J12" s="64"/>
      <c r="K12" s="64"/>
      <c r="L12" s="64"/>
    </row>
    <row r="13" spans="1:16" ht="14.65" customHeight="1" x14ac:dyDescent="0.25">
      <c r="A13" s="58" t="s">
        <v>30</v>
      </c>
      <c r="B13" s="68">
        <v>0</v>
      </c>
      <c r="C13" s="59"/>
      <c r="D13" s="59"/>
      <c r="E13" s="59"/>
      <c r="F13" s="59"/>
      <c r="J13" s="64"/>
      <c r="K13" s="64"/>
      <c r="L13" s="64"/>
    </row>
    <row r="14" spans="1:16" x14ac:dyDescent="0.25">
      <c r="A14" s="58" t="s">
        <v>31</v>
      </c>
      <c r="B14" s="68">
        <v>0</v>
      </c>
      <c r="C14" s="59"/>
      <c r="D14" s="59"/>
      <c r="E14" s="59"/>
      <c r="F14" s="59"/>
    </row>
    <row r="15" spans="1:16" x14ac:dyDescent="0.25">
      <c r="A15" s="58" t="s">
        <v>39</v>
      </c>
      <c r="B15" s="68">
        <v>0</v>
      </c>
      <c r="C15" s="59"/>
      <c r="D15" s="59"/>
      <c r="E15" s="59"/>
      <c r="F15" s="59"/>
    </row>
    <row r="16" spans="1:16" x14ac:dyDescent="0.25">
      <c r="A16" s="58" t="s">
        <v>38</v>
      </c>
      <c r="B16" s="68">
        <v>0</v>
      </c>
      <c r="C16" s="59"/>
      <c r="D16" s="59"/>
      <c r="E16" s="59"/>
      <c r="F16" s="59"/>
    </row>
    <row r="17" spans="1:6" x14ac:dyDescent="0.25">
      <c r="A17" s="58" t="s">
        <v>32</v>
      </c>
      <c r="B17" s="68">
        <v>0</v>
      </c>
      <c r="C17" s="59"/>
      <c r="D17" s="59"/>
      <c r="E17" s="59"/>
      <c r="F17" s="59"/>
    </row>
    <row r="18" spans="1:6" x14ac:dyDescent="0.25">
      <c r="A18" s="58" t="s">
        <v>33</v>
      </c>
      <c r="B18" s="68">
        <v>0</v>
      </c>
      <c r="C18" s="59"/>
      <c r="D18" s="59"/>
      <c r="E18" s="59"/>
      <c r="F18" s="59"/>
    </row>
    <row r="19" spans="1:6" x14ac:dyDescent="0.25">
      <c r="A19" s="58" t="s">
        <v>34</v>
      </c>
      <c r="B19" s="68">
        <v>0</v>
      </c>
      <c r="C19" s="59"/>
      <c r="D19" s="59"/>
      <c r="E19" s="59"/>
      <c r="F19" s="59"/>
    </row>
    <row r="20" spans="1:6" x14ac:dyDescent="0.25">
      <c r="A20" s="58" t="s">
        <v>35</v>
      </c>
      <c r="B20" s="68">
        <v>0</v>
      </c>
      <c r="C20" s="59"/>
      <c r="D20" s="59"/>
      <c r="E20" s="59"/>
      <c r="F20" s="59"/>
    </row>
    <row r="21" spans="1:6" x14ac:dyDescent="0.25">
      <c r="A21" s="58" t="s">
        <v>1</v>
      </c>
      <c r="B21" s="68">
        <v>0</v>
      </c>
      <c r="C21" s="59"/>
      <c r="D21" s="59"/>
      <c r="E21" s="59"/>
      <c r="F21" s="59"/>
    </row>
    <row r="22" spans="1:6" x14ac:dyDescent="0.25">
      <c r="A22" s="58" t="s">
        <v>37</v>
      </c>
      <c r="B22" s="68">
        <v>0</v>
      </c>
      <c r="C22" s="59"/>
      <c r="D22" s="59"/>
      <c r="E22" s="59"/>
      <c r="F22" s="59"/>
    </row>
    <row r="23" spans="1:6" x14ac:dyDescent="0.25">
      <c r="A23" s="58" t="s">
        <v>40</v>
      </c>
      <c r="B23" s="68">
        <v>0</v>
      </c>
      <c r="C23" s="59"/>
      <c r="D23" s="59"/>
      <c r="E23" s="59"/>
      <c r="F23" s="59"/>
    </row>
    <row r="24" spans="1:6" x14ac:dyDescent="0.25">
      <c r="A24" s="58" t="s">
        <v>36</v>
      </c>
      <c r="B24" s="68">
        <v>0</v>
      </c>
      <c r="C24" s="59"/>
      <c r="D24" s="59"/>
      <c r="E24" s="59"/>
      <c r="F24" s="59"/>
    </row>
    <row r="25" spans="1:6" x14ac:dyDescent="0.25">
      <c r="A25" s="42" t="s">
        <v>10</v>
      </c>
      <c r="B25" s="68">
        <v>0</v>
      </c>
      <c r="C25" s="59"/>
    </row>
    <row r="26" spans="1:6" x14ac:dyDescent="0.25">
      <c r="A26" s="42" t="s">
        <v>29</v>
      </c>
      <c r="B26" s="68">
        <v>0</v>
      </c>
      <c r="C26" s="59"/>
    </row>
    <row r="27" spans="1:6" x14ac:dyDescent="0.25">
      <c r="C27" s="59"/>
    </row>
    <row r="28" spans="1:6" x14ac:dyDescent="0.25">
      <c r="A28" s="42" t="s">
        <v>63</v>
      </c>
      <c r="B28" s="43">
        <v>0</v>
      </c>
      <c r="C28" s="59"/>
    </row>
    <row r="29" spans="1:6" ht="15.75" thickBot="1" x14ac:dyDescent="0.3">
      <c r="A29" s="46" t="s">
        <v>64</v>
      </c>
      <c r="B29" s="47">
        <v>0</v>
      </c>
      <c r="C29" s="47"/>
      <c r="D29" s="47"/>
      <c r="E29" s="47"/>
      <c r="F29" s="47"/>
    </row>
    <row r="30" spans="1:6" x14ac:dyDescent="0.25">
      <c r="A30" s="44" t="s">
        <v>46</v>
      </c>
      <c r="B30" s="48" t="e">
        <f>SUM(B12:B29)-#REF!</f>
        <v>#REF!</v>
      </c>
      <c r="C30" s="48">
        <f>SUM(C12:C29)-'M01 - 2Q'!$G$159</f>
        <v>0</v>
      </c>
      <c r="D30" s="48">
        <f>SUM(D12:D29)-'M01 - 3Q'!$G$159</f>
        <v>0</v>
      </c>
      <c r="E30" s="48">
        <f>SUM(E12:E29)-'M01 - 4Q'!$G$159</f>
        <v>0</v>
      </c>
      <c r="F30" s="48"/>
    </row>
  </sheetData>
  <mergeCells count="2">
    <mergeCell ref="A1:F1"/>
    <mergeCell ref="H2:O8"/>
  </mergeCells>
  <pageMargins left="0.7" right="0.7" top="0.75" bottom="0.75" header="0.3" footer="0.3"/>
  <headerFooter>
    <oddHeader>&amp;R&amp;"Aptos"&amp;14&amp;K000000 Available for Public Use&amp;1#_x000D_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USAC" ma:contentTypeID="0x01010059544DE8A099024EA5978167BB0E19A20068643555DE451042A82B8B324160C15500C7B8459E09DE8342A3F40E26F27049DD" ma:contentTypeVersion="21" ma:contentTypeDescription="Editable content type that inherits the USAC Document 2007 fixed content type." ma:contentTypeScope="" ma:versionID="3b99be32a5fdfb48eb7b40090f42e765">
  <xsd:schema xmlns:xsd="http://www.w3.org/2001/XMLSchema" xmlns:xs="http://www.w3.org/2001/XMLSchema" xmlns:p="http://schemas.microsoft.com/office/2006/metadata/properties" xmlns:ns2="f92b86cd-f024-403d-a7f3-8158e59dc517" targetNamespace="http://schemas.microsoft.com/office/2006/metadata/properties" ma:root="true" ma:fieldsID="825bcb6546523d4d0180f18365159155" ns2:_="">
    <xsd:import namespace="f92b86cd-f024-403d-a7f3-8158e59dc517"/>
    <xsd:element name="properties">
      <xsd:complexType>
        <xsd:sequence>
          <xsd:element name="documentManagement">
            <xsd:complexType>
              <xsd:all>
                <xsd:element ref="ns2:od22e96534ea403088646b49880402d5" minOccurs="0"/>
                <xsd:element ref="ns2:TaxCatchAll" minOccurs="0"/>
                <xsd:element ref="ns2:TaxCatchAllLabel" minOccurs="0"/>
                <xsd:element ref="ns2:nebf1bf0a4124110b3bb9e9ccf5bc7a8"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2b86cd-f024-403d-a7f3-8158e59dc517" elementFormDefault="qualified">
    <xsd:import namespace="http://schemas.microsoft.com/office/2006/documentManagement/types"/>
    <xsd:import namespace="http://schemas.microsoft.com/office/infopath/2007/PartnerControls"/>
    <xsd:element name="od22e96534ea403088646b49880402d5" ma:index="8" nillable="true" ma:taxonomy="true" ma:internalName="od22e96534ea403088646b49880402d5" ma:taxonomyFieldName="USAC_x0020_Department" ma:displayName="USAC Department" ma:default="" ma:fieldId="{8d22e965-34ea-4030-8864-6b49880402d5}" ma:sspId="301050ec-8736-4c7a-a18b-4ae609820d17" ma:termSetId="1a39358d-9c35-4af2-866e-fb90de84dc91"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544bec5a-db3f-4d25-a9c2-476c30bff621}" ma:internalName="TaxCatchAll" ma:showField="CatchAllData" ma:web="860f62e1-d03c-47f4-be85-84e728cf564c">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544bec5a-db3f-4d25-a9c2-476c30bff621}" ma:internalName="TaxCatchAllLabel" ma:readOnly="true" ma:showField="CatchAllDataLabel" ma:web="860f62e1-d03c-47f4-be85-84e728cf564c">
      <xsd:complexType>
        <xsd:complexContent>
          <xsd:extension base="dms:MultiChoiceLookup">
            <xsd:sequence>
              <xsd:element name="Value" type="dms:Lookup" maxOccurs="unbounded" minOccurs="0" nillable="true"/>
            </xsd:sequence>
          </xsd:extension>
        </xsd:complexContent>
      </xsd:complexType>
    </xsd:element>
    <xsd:element name="nebf1bf0a4124110b3bb9e9ccf5bc7a8" ma:index="12" nillable="true" ma:taxonomy="true" ma:internalName="nebf1bf0a4124110b3bb9e9ccf5bc7a8" ma:taxonomyFieldName="USAC_x0020_Tag" ma:displayName="USAC Tag" ma:default="" ma:fieldId="{7ebf1bf0-a412-4110-b3bb-9e9ccf5bc7a8}" ma:sspId="301050ec-8736-4c7a-a18b-4ae609820d17" ma:termSetId="bd38a192-5301-4b85-975a-932a55864f86" ma:anchorId="00000000-0000-0000-0000-000000000000"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92b86cd-f024-403d-a7f3-8158e59dc517"/>
    <nebf1bf0a4124110b3bb9e9ccf5bc7a8 xmlns="f92b86cd-f024-403d-a7f3-8158e59dc517">
      <Terms xmlns="http://schemas.microsoft.com/office/infopath/2007/PartnerControls"/>
    </nebf1bf0a4124110b3bb9e9ccf5bc7a8>
    <od22e96534ea403088646b49880402d5 xmlns="f92b86cd-f024-403d-a7f3-8158e59dc517">
      <Terms xmlns="http://schemas.microsoft.com/office/infopath/2007/PartnerControls"/>
    </od22e96534ea403088646b49880402d5>
  </documentManagement>
</p:properties>
</file>

<file path=customXml/item4.xml><?xml version="1.0" encoding="utf-8"?>
<?mso-contentType ?>
<SharedContentType xmlns="Microsoft.SharePoint.Taxonomy.ContentTypeSync" SourceId="301050ec-8736-4c7a-a18b-4ae609820d17" ContentTypeId="0x01010059544DE8A099024EA5978167BB0E19A2" PreviousValue="false"/>
</file>

<file path=customXml/itemProps1.xml><?xml version="1.0" encoding="utf-8"?>
<ds:datastoreItem xmlns:ds="http://schemas.openxmlformats.org/officeDocument/2006/customXml" ds:itemID="{17FC8047-2DC6-4911-864D-D08A712104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2b86cd-f024-403d-a7f3-8158e59dc5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BAC79DD-4B5F-4AF6-9CB6-3F2456909D91}">
  <ds:schemaRefs>
    <ds:schemaRef ds:uri="http://schemas.microsoft.com/sharepoint/v3/contenttype/forms"/>
  </ds:schemaRefs>
</ds:datastoreItem>
</file>

<file path=customXml/itemProps3.xml><?xml version="1.0" encoding="utf-8"?>
<ds:datastoreItem xmlns:ds="http://schemas.openxmlformats.org/officeDocument/2006/customXml" ds:itemID="{DE558E15-1ED6-46E2-81E2-631C75FB5ECD}">
  <ds:schemaRefs>
    <ds:schemaRef ds:uri="http://purl.org/dc/dcmitype/"/>
    <ds:schemaRef ds:uri="http://schemas.openxmlformats.org/package/2006/metadata/core-properties"/>
    <ds:schemaRef ds:uri="http://purl.org/dc/terms/"/>
    <ds:schemaRef ds:uri="http://purl.org/dc/elements/1.1/"/>
    <ds:schemaRef ds:uri="http://schemas.microsoft.com/office/2006/documentManagement/types"/>
    <ds:schemaRef ds:uri="f92b86cd-f024-403d-a7f3-8158e59dc517"/>
    <ds:schemaRef ds:uri="http://schemas.microsoft.com/office/infopath/2007/PartnerControls"/>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7057E416-0EB4-45AE-97D8-1B6698DB8D2F}">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M01 - 2Q</vt:lpstr>
      <vt:lpstr>M01 - 3Q</vt:lpstr>
      <vt:lpstr>M01 - 4Q</vt:lpstr>
      <vt:lpstr>M01</vt:lpstr>
      <vt:lpstr>CCP PowerPlan Report</vt:lpstr>
      <vt:lpstr>'M01'!Print_Area</vt:lpstr>
      <vt:lpstr>'M01 - 2Q'!Print_Area</vt:lpstr>
      <vt:lpstr>'M01 - 3Q'!Print_Area</vt:lpstr>
      <vt:lpstr>'M01 - 4Q'!Print_Area</vt:lpstr>
    </vt:vector>
  </TitlesOfParts>
  <Company>USAC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Haga</dc:creator>
  <cp:lastModifiedBy>Andrea Payne</cp:lastModifiedBy>
  <cp:lastPrinted>2026-03-27T19:41:40Z</cp:lastPrinted>
  <dcterms:created xsi:type="dcterms:W3CDTF">1999-01-29T20:28:31Z</dcterms:created>
  <dcterms:modified xsi:type="dcterms:W3CDTF">2026-04-30T15:58:56Z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0x01010059544DE8A099024EA5978167BB0E19A20068643555DE451042A82B8B324160C15500C7B8459E09DE8342A3F40E26F27049DD</vt:lpwstr>
  </property>
  <property fmtid="{D5CDD505-2E9C-101B-9397-08002B2CF9AE}" pid="3" name="USAC Tag">
    <vt:lpwstr/>
  </property>
  <property fmtid="{D5CDD505-2E9C-101B-9397-08002B2CF9AE}" pid="4" name="USAC Department">
    <vt:lpwstr/>
  </property>
  <property fmtid="{D5CDD505-2E9C-101B-9397-08002B2CF9AE}" pid="5" name="MSIP_Label_80c7d571-b48d-4178-b239-dc4dfc7a6de6_Enabled">
    <vt:lpwstr>true</vt:lpwstr>
  </property>
  <property fmtid="{D5CDD505-2E9C-101B-9397-08002B2CF9AE}" pid="6" name="MSIP_Label_80c7d571-b48d-4178-b239-dc4dfc7a6de6_SetDate">
    <vt:lpwstr>2026-04-30T15:33:48Z</vt:lpwstr>
  </property>
  <property fmtid="{D5CDD505-2E9C-101B-9397-08002B2CF9AE}" pid="7" name="MSIP_Label_80c7d571-b48d-4178-b239-dc4dfc7a6de6_Method">
    <vt:lpwstr>Privileged</vt:lpwstr>
  </property>
  <property fmtid="{D5CDD505-2E9C-101B-9397-08002B2CF9AE}" pid="8" name="MSIP_Label_80c7d571-b48d-4178-b239-dc4dfc7a6de6_Name">
    <vt:lpwstr>USAC - Public</vt:lpwstr>
  </property>
  <property fmtid="{D5CDD505-2E9C-101B-9397-08002B2CF9AE}" pid="9" name="MSIP_Label_80c7d571-b48d-4178-b239-dc4dfc7a6de6_SiteId">
    <vt:lpwstr>1a823251-47b0-4320-a4f3-7e39bb407718</vt:lpwstr>
  </property>
  <property fmtid="{D5CDD505-2E9C-101B-9397-08002B2CF9AE}" pid="10" name="MSIP_Label_80c7d571-b48d-4178-b239-dc4dfc7a6de6_ActionId">
    <vt:lpwstr>5a74e64a-7c63-47a1-82e3-a3e5c93ba485</vt:lpwstr>
  </property>
  <property fmtid="{D5CDD505-2E9C-101B-9397-08002B2CF9AE}" pid="11" name="MSIP_Label_80c7d571-b48d-4178-b239-dc4dfc7a6de6_ContentBits">
    <vt:lpwstr>1</vt:lpwstr>
  </property>
  <property fmtid="{D5CDD505-2E9C-101B-9397-08002B2CF9AE}" pid="12" name="MSIP_Label_80c7d571-b48d-4178-b239-dc4dfc7a6de6_Tag">
    <vt:lpwstr>10, 0, 1, 1</vt:lpwstr>
  </property>
</Properties>
</file>